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15" yWindow="90" windowWidth="10155" windowHeight="7050" firstSheet="8" activeTab="12"/>
  </bookViews>
  <sheets>
    <sheet name="Notes" sheetId="1" r:id="rId1"/>
    <sheet name="Input Data" sheetId="2" r:id="rId2"/>
    <sheet name="Worked Example" sheetId="13" r:id="rId3"/>
    <sheet name="Civ_Struct_Eng_Tax Invoice " sheetId="3" r:id="rId4"/>
    <sheet name="Scales" sheetId="6" r:id="rId5"/>
    <sheet name="WTW Input" sheetId="4" r:id="rId6"/>
    <sheet name="WTW Calculations" sheetId="5" r:id="rId7"/>
    <sheet name="Previous Payments" sheetId="7" r:id="rId8"/>
    <sheet name="Time Based" sheetId="10" r:id="rId9"/>
    <sheet name="Travelling &amp; Subsistence" sheetId="8" r:id="rId10"/>
    <sheet name="Trip Sheet" sheetId="15" r:id="rId11"/>
    <sheet name="Typing, Duplicating, &amp; Printing" sheetId="9" r:id="rId12"/>
    <sheet name="Site staff &amp; Other" sheetId="11" r:id="rId13"/>
    <sheet name="Summary A3" sheetId="14" r:id="rId14"/>
    <sheet name="Non Taxable" sheetId="12" r:id="rId15"/>
    <sheet name="Sheet3" sheetId="16" r:id="rId16"/>
  </sheets>
  <externalReferences>
    <externalReference r:id="rId17"/>
  </externalReferences>
  <definedNames>
    <definedName name="_xlnm.Print_Area" localSheetId="3">'Civ_Struct_Eng_Tax Invoice '!$A$1:$Q$176</definedName>
    <definedName name="_xlnm.Print_Area" localSheetId="1">'Input Data'!$A$1:$H$60</definedName>
    <definedName name="_xlnm.Print_Area" localSheetId="0">Notes!$A$1:$B$84</definedName>
    <definedName name="_xlnm.Print_Area" localSheetId="12">'Site staff &amp; Other'!$A$1:$H$61</definedName>
    <definedName name="_xlnm.Print_Area" localSheetId="8">'Time Based'!$A$1:$H$77</definedName>
    <definedName name="_xlnm.Print_Area" localSheetId="9">'Travelling &amp; Subsistence'!$A$1:$I$61</definedName>
    <definedName name="_xlnm.Print_Area" localSheetId="2">'Worked Example'!$A$1:$H$60</definedName>
    <definedName name="_xlnm.Print_Area" localSheetId="6">'WTW Calculations'!$A$1:$S$57</definedName>
    <definedName name="_xlnm.Print_Area" localSheetId="5">'WTW Input'!$A$1:$H$29</definedName>
    <definedName name="_xlnm.Print_Titles" localSheetId="3">'Civ_Struct_Eng_Tax Invoice '!$1:$6</definedName>
    <definedName name="_xlnm.Print_Titles" localSheetId="1">'Input Data'!$1:$5</definedName>
    <definedName name="_xlnm.Print_Titles" localSheetId="2">'Worked Example'!$1:$5</definedName>
    <definedName name="_xlnm.Print_Titles" localSheetId="6">'WTW Calculations'!$6:$13</definedName>
    <definedName name="SCALE_2009CSE1">Scales!#REF!</definedName>
    <definedName name="SCALE_2009CSE2">Scales!#REF!</definedName>
    <definedName name="SCALE_2010SE1">Scales!$B$3:$E$10</definedName>
    <definedName name="SCALE_2010SE2">Scales!$B$14:$E$21</definedName>
    <definedName name="Stages2010">'[1]2010'!$C$76:$I$96</definedName>
    <definedName name="Z_F2EF8C40_5F38_4711_A114_3A47916B87AA_.wvu.PrintArea" localSheetId="3" hidden="1">'Civ_Struct_Eng_Tax Invoice '!$A$1:$Q$108</definedName>
    <definedName name="Z_F2EF8C40_5F38_4711_A114_3A47916B87AA_.wvu.PrintArea" localSheetId="1" hidden="1">'Input Data'!$A$1:$H$60</definedName>
    <definedName name="Z_F2EF8C40_5F38_4711_A114_3A47916B87AA_.wvu.PrintArea" localSheetId="12" hidden="1">'Site staff &amp; Other'!$A$1:$H$60</definedName>
    <definedName name="Z_F2EF8C40_5F38_4711_A114_3A47916B87AA_.wvu.PrintArea" localSheetId="8" hidden="1">'Time Based'!$A$1:$H$76</definedName>
    <definedName name="Z_F2EF8C40_5F38_4711_A114_3A47916B87AA_.wvu.PrintArea" localSheetId="9" hidden="1">'Travelling &amp; Subsistence'!$A$1:$I$60</definedName>
    <definedName name="Z_F2EF8C40_5F38_4711_A114_3A47916B87AA_.wvu.PrintArea" localSheetId="2" hidden="1">'Worked Example'!$A$1:$H$60</definedName>
    <definedName name="Z_F2EF8C40_5F38_4711_A114_3A47916B87AA_.wvu.PrintTitles" localSheetId="3" hidden="1">'Civ_Struct_Eng_Tax Invoice '!$2:$6</definedName>
    <definedName name="Z_F2EF8C40_5F38_4711_A114_3A47916B87AA_.wvu.PrintTitles" localSheetId="6" hidden="1">'WTW Calculations'!$6:$13</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O60" i="15" l="1"/>
  <c r="N44" i="15"/>
  <c r="H43" i="15"/>
  <c r="O43" i="15" s="1"/>
  <c r="O45" i="15" s="1"/>
  <c r="J36" i="15"/>
  <c r="M36" i="15" s="1"/>
  <c r="O36" i="15" s="1"/>
  <c r="O37" i="15" s="1"/>
  <c r="F36" i="15"/>
  <c r="F35" i="15"/>
  <c r="F34" i="15"/>
  <c r="F33" i="15"/>
  <c r="O16" i="15"/>
  <c r="J50" i="14"/>
  <c r="H50" i="14"/>
  <c r="L49" i="14"/>
  <c r="L55" i="14" s="1"/>
  <c r="J47" i="14"/>
  <c r="L47" i="14" s="1"/>
  <c r="H47" i="14"/>
  <c r="L38" i="14"/>
  <c r="J38" i="14"/>
  <c r="H38" i="14"/>
  <c r="J29" i="14"/>
  <c r="L29" i="14" s="1"/>
  <c r="H29" i="14"/>
  <c r="F2" i="7"/>
  <c r="F3" i="10"/>
  <c r="F3" i="8"/>
  <c r="E3" i="9"/>
  <c r="F3" i="11"/>
  <c r="G3" i="12"/>
  <c r="C3" i="12"/>
  <c r="C3" i="11"/>
  <c r="B3" i="9"/>
  <c r="C3" i="8"/>
  <c r="D3" i="10"/>
  <c r="D2" i="7"/>
  <c r="C5" i="5"/>
  <c r="E10" i="4"/>
  <c r="M3" i="3"/>
  <c r="A82" i="1"/>
  <c r="L53" i="14" l="1"/>
  <c r="L54" i="14" s="1"/>
  <c r="L56" i="14" s="1"/>
  <c r="F37" i="15"/>
  <c r="O61" i="15"/>
  <c r="H54" i="14" l="1"/>
  <c r="F31" i="2"/>
  <c r="Q72" i="3"/>
  <c r="E23" i="4"/>
  <c r="E47" i="2" s="1"/>
  <c r="C31" i="2"/>
  <c r="G10" i="13"/>
  <c r="E10" i="13"/>
  <c r="G10" i="2"/>
  <c r="E10" i="2"/>
  <c r="F31" i="13"/>
  <c r="C31" i="13" s="1"/>
  <c r="O71" i="3"/>
  <c r="Q76" i="3"/>
  <c r="H3" i="13"/>
  <c r="K167" i="3"/>
  <c r="K2" i="7"/>
  <c r="D9" i="7" s="1"/>
  <c r="F9" i="7" s="1"/>
  <c r="D20" i="7"/>
  <c r="D25" i="7"/>
  <c r="D33" i="7"/>
  <c r="D36" i="7"/>
  <c r="K6" i="7"/>
  <c r="M6" i="7" s="1"/>
  <c r="K8" i="7"/>
  <c r="M8" i="7" s="1"/>
  <c r="K14" i="7"/>
  <c r="M14" i="7" s="1"/>
  <c r="K15" i="7"/>
  <c r="M15" i="7" s="1"/>
  <c r="K20" i="7"/>
  <c r="M20" i="7" s="1"/>
  <c r="K22" i="7"/>
  <c r="M22" i="7" s="1"/>
  <c r="K24" i="7"/>
  <c r="K27" i="7"/>
  <c r="M27" i="7" s="1"/>
  <c r="K30" i="7"/>
  <c r="M30" i="7" s="1"/>
  <c r="K31" i="7"/>
  <c r="M31" i="7" s="1"/>
  <c r="K35" i="7"/>
  <c r="M35" i="7" s="1"/>
  <c r="K36" i="7"/>
  <c r="K38" i="7"/>
  <c r="M38" i="7" s="1"/>
  <c r="O105" i="3"/>
  <c r="E42" i="7"/>
  <c r="L5" i="7" s="1"/>
  <c r="L42" i="7" s="1"/>
  <c r="M24" i="7"/>
  <c r="M36" i="7"/>
  <c r="C42" i="7"/>
  <c r="J5" i="7" s="1"/>
  <c r="J42" i="7" s="1"/>
  <c r="I18" i="12"/>
  <c r="I20" i="12"/>
  <c r="Q89" i="3" s="1"/>
  <c r="O106" i="3" s="1"/>
  <c r="K174" i="3"/>
  <c r="H12" i="10"/>
  <c r="E3" i="13"/>
  <c r="E9" i="13"/>
  <c r="E2" i="13" s="1"/>
  <c r="E17" i="13"/>
  <c r="E18" i="13"/>
  <c r="E20" i="13"/>
  <c r="H36" i="13" s="1"/>
  <c r="H55" i="13"/>
  <c r="H56" i="13"/>
  <c r="G23" i="4"/>
  <c r="G47" i="2" s="1"/>
  <c r="G47" i="13"/>
  <c r="G48" i="13" s="1"/>
  <c r="H40" i="13"/>
  <c r="H42" i="13"/>
  <c r="H44" i="13"/>
  <c r="H45" i="13"/>
  <c r="E38" i="13"/>
  <c r="E47" i="13"/>
  <c r="F23" i="4"/>
  <c r="F47" i="13" s="1"/>
  <c r="F48" i="13" s="1"/>
  <c r="E48" i="13"/>
  <c r="H60" i="13"/>
  <c r="E9" i="2"/>
  <c r="E20" i="2"/>
  <c r="H36" i="2" s="1"/>
  <c r="A21" i="2"/>
  <c r="F9" i="4"/>
  <c r="K147" i="3"/>
  <c r="K76" i="3"/>
  <c r="E76" i="3"/>
  <c r="G76" i="3"/>
  <c r="M76" i="3"/>
  <c r="H27" i="10"/>
  <c r="H43" i="10"/>
  <c r="H61" i="10"/>
  <c r="I24" i="8"/>
  <c r="I46" i="8"/>
  <c r="I57" i="8"/>
  <c r="I8" i="9"/>
  <c r="I19" i="9"/>
  <c r="I32" i="9"/>
  <c r="I43" i="9"/>
  <c r="H7" i="11"/>
  <c r="H21" i="11"/>
  <c r="H35" i="11"/>
  <c r="H49" i="11"/>
  <c r="H56" i="11"/>
  <c r="H78" i="10"/>
  <c r="C105" i="3" s="1"/>
  <c r="I61" i="8"/>
  <c r="F105" i="3" s="1"/>
  <c r="I60" i="9"/>
  <c r="I105" i="3" s="1"/>
  <c r="H59" i="11"/>
  <c r="H61" i="11" s="1"/>
  <c r="K105" i="3" s="1"/>
  <c r="H8" i="11"/>
  <c r="H9" i="11"/>
  <c r="H10" i="11"/>
  <c r="H11" i="11"/>
  <c r="H12" i="11"/>
  <c r="H13" i="11"/>
  <c r="H14" i="11"/>
  <c r="H15" i="11"/>
  <c r="H16" i="11"/>
  <c r="H22" i="11"/>
  <c r="H23" i="11"/>
  <c r="H24" i="11"/>
  <c r="H25" i="11"/>
  <c r="H26" i="11"/>
  <c r="H27" i="11"/>
  <c r="H28" i="11"/>
  <c r="H29" i="11"/>
  <c r="H30" i="11"/>
  <c r="H36" i="11"/>
  <c r="H37" i="11"/>
  <c r="H38" i="11"/>
  <c r="H39" i="11"/>
  <c r="H40" i="11"/>
  <c r="H41" i="11"/>
  <c r="H42" i="11"/>
  <c r="H43" i="11"/>
  <c r="H44" i="11"/>
  <c r="Q108" i="3"/>
  <c r="E17" i="2"/>
  <c r="C15" i="3"/>
  <c r="H4" i="3"/>
  <c r="S3" i="5"/>
  <c r="H5" i="4"/>
  <c r="A24" i="4"/>
  <c r="F47" i="2"/>
  <c r="E48" i="2"/>
  <c r="B19" i="3"/>
  <c r="C11" i="4"/>
  <c r="C10" i="5"/>
  <c r="Q2" i="3"/>
  <c r="I6" i="5"/>
  <c r="B12" i="4"/>
  <c r="H4" i="4"/>
  <c r="S5" i="5"/>
  <c r="B8" i="5"/>
  <c r="C12" i="5"/>
  <c r="O18" i="3"/>
  <c r="Q16" i="3"/>
  <c r="N17" i="3"/>
  <c r="Q17" i="3"/>
  <c r="Q14" i="3"/>
  <c r="Q13" i="3"/>
  <c r="P12" i="3"/>
  <c r="B17" i="3"/>
  <c r="B16" i="3"/>
  <c r="O15" i="3"/>
  <c r="B14" i="3"/>
  <c r="B13" i="3"/>
  <c r="B12" i="3"/>
  <c r="P6" i="3"/>
  <c r="J10" i="3"/>
  <c r="M10" i="3"/>
  <c r="O10" i="3"/>
  <c r="Q9" i="3"/>
  <c r="Q8" i="3"/>
  <c r="Q7" i="3"/>
  <c r="O9" i="3"/>
  <c r="M9" i="3"/>
  <c r="M8" i="3"/>
  <c r="M7" i="3"/>
  <c r="M6" i="3"/>
  <c r="B10" i="3"/>
  <c r="B9" i="3"/>
  <c r="B8" i="3"/>
  <c r="B7" i="3"/>
  <c r="B6" i="3"/>
  <c r="Q3" i="3"/>
  <c r="P4" i="3"/>
  <c r="B5" i="3"/>
  <c r="B4" i="3"/>
  <c r="E18" i="2"/>
  <c r="G48" i="2"/>
  <c r="F48" i="2"/>
  <c r="B6" i="5"/>
  <c r="F20" i="7"/>
  <c r="F25" i="7"/>
  <c r="F33" i="7"/>
  <c r="F36" i="7"/>
  <c r="H7" i="7"/>
  <c r="H8" i="7"/>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62" i="10"/>
  <c r="H63" i="10"/>
  <c r="H64" i="10"/>
  <c r="H65" i="10"/>
  <c r="H66" i="10"/>
  <c r="H67" i="10"/>
  <c r="H68" i="10"/>
  <c r="H69" i="10"/>
  <c r="H70" i="10"/>
  <c r="H71" i="10"/>
  <c r="H72" i="10"/>
  <c r="H73" i="10"/>
  <c r="H74" i="10"/>
  <c r="H44" i="10"/>
  <c r="H45" i="10"/>
  <c r="H46" i="10"/>
  <c r="H47" i="10"/>
  <c r="H48" i="10"/>
  <c r="H49" i="10"/>
  <c r="H50" i="10"/>
  <c r="H51" i="10"/>
  <c r="H52" i="10"/>
  <c r="H53" i="10"/>
  <c r="H54" i="10"/>
  <c r="H55" i="10"/>
  <c r="H56" i="10"/>
  <c r="I44" i="9"/>
  <c r="I45" i="9"/>
  <c r="I46" i="9"/>
  <c r="I47" i="9"/>
  <c r="I48" i="9"/>
  <c r="I49" i="9"/>
  <c r="I50" i="9"/>
  <c r="I51" i="9"/>
  <c r="I52" i="9"/>
  <c r="I53" i="9"/>
  <c r="I54" i="9"/>
  <c r="I55" i="9"/>
  <c r="I33" i="9"/>
  <c r="I34" i="9"/>
  <c r="I35" i="9"/>
  <c r="I36" i="9"/>
  <c r="I37" i="9"/>
  <c r="I38" i="9"/>
  <c r="I20" i="9"/>
  <c r="I21" i="9"/>
  <c r="I22" i="9"/>
  <c r="I23" i="9"/>
  <c r="I24" i="9"/>
  <c r="I25" i="9"/>
  <c r="I26" i="9"/>
  <c r="I27" i="9"/>
  <c r="I9" i="9"/>
  <c r="I10" i="9"/>
  <c r="I11" i="9"/>
  <c r="I12" i="9"/>
  <c r="I13" i="9"/>
  <c r="I14" i="9"/>
  <c r="I25" i="8"/>
  <c r="I26" i="8"/>
  <c r="I27" i="8"/>
  <c r="I28" i="8"/>
  <c r="I29" i="8"/>
  <c r="I30" i="8"/>
  <c r="I31" i="8"/>
  <c r="I32" i="8"/>
  <c r="I33" i="8"/>
  <c r="H28" i="10"/>
  <c r="H29" i="10"/>
  <c r="H30" i="10"/>
  <c r="H31" i="10"/>
  <c r="H32" i="10"/>
  <c r="H33" i="10"/>
  <c r="H34" i="10"/>
  <c r="H35" i="10"/>
  <c r="H36" i="10"/>
  <c r="H37" i="10"/>
  <c r="H13" i="10"/>
  <c r="H14" i="10"/>
  <c r="H15" i="10"/>
  <c r="H16" i="10"/>
  <c r="H17" i="10"/>
  <c r="H18" i="10"/>
  <c r="H19" i="10"/>
  <c r="H20" i="10"/>
  <c r="H21" i="10"/>
  <c r="C9" i="4"/>
  <c r="G29" i="4"/>
  <c r="A19" i="3" l="1"/>
  <c r="H16" i="4"/>
  <c r="O26" i="5" s="1"/>
  <c r="K155" i="3"/>
  <c r="A49" i="2"/>
  <c r="M53" i="5"/>
  <c r="K158" i="3"/>
  <c r="F49" i="2"/>
  <c r="K163" i="3"/>
  <c r="K5" i="6"/>
  <c r="G49" i="2"/>
  <c r="H60" i="2"/>
  <c r="M50" i="5"/>
  <c r="K4" i="6"/>
  <c r="H27" i="4"/>
  <c r="O50" i="5" s="1"/>
  <c r="H59" i="2"/>
  <c r="Q163" i="3" s="1"/>
  <c r="Q58" i="3" s="1"/>
  <c r="H17" i="11"/>
  <c r="H58" i="11" s="1"/>
  <c r="H75" i="10"/>
  <c r="H51" i="13"/>
  <c r="H46" i="13"/>
  <c r="H41" i="13"/>
  <c r="K40" i="7"/>
  <c r="M40" i="7" s="1"/>
  <c r="K32" i="7"/>
  <c r="M32" i="7" s="1"/>
  <c r="K26" i="7"/>
  <c r="M26" i="7" s="1"/>
  <c r="K19" i="7"/>
  <c r="M19" i="7" s="1"/>
  <c r="K11" i="7"/>
  <c r="M11" i="7" s="1"/>
  <c r="D41" i="7"/>
  <c r="F41" i="7" s="1"/>
  <c r="D30" i="7"/>
  <c r="F30" i="7" s="1"/>
  <c r="D14" i="7"/>
  <c r="F14" i="7" s="1"/>
  <c r="I5" i="6"/>
  <c r="I6" i="6"/>
  <c r="I34" i="8"/>
  <c r="I60" i="8" s="1"/>
  <c r="Q81" i="3" s="1"/>
  <c r="H45" i="11"/>
  <c r="K16" i="7"/>
  <c r="M16" i="7" s="1"/>
  <c r="K10" i="7"/>
  <c r="M10" i="7" s="1"/>
  <c r="D38" i="7"/>
  <c r="F38" i="7" s="1"/>
  <c r="D28" i="7"/>
  <c r="F28" i="7" s="1"/>
  <c r="E38" i="2"/>
  <c r="I147" i="3"/>
  <c r="I56" i="9"/>
  <c r="H57" i="10"/>
  <c r="H31" i="11"/>
  <c r="A60" i="11" s="1"/>
  <c r="H47" i="13"/>
  <c r="I4" i="6"/>
  <c r="I39" i="9"/>
  <c r="H22" i="10"/>
  <c r="I28" i="9"/>
  <c r="I15" i="9"/>
  <c r="H77" i="10"/>
  <c r="Q78" i="3" s="1"/>
  <c r="H38" i="10"/>
  <c r="S26" i="5"/>
  <c r="D7" i="7"/>
  <c r="F7" i="7" s="1"/>
  <c r="D11" i="7"/>
  <c r="F11" i="7" s="1"/>
  <c r="D15" i="7"/>
  <c r="F15" i="7" s="1"/>
  <c r="D19" i="7"/>
  <c r="F19" i="7" s="1"/>
  <c r="D23" i="7"/>
  <c r="F23" i="7" s="1"/>
  <c r="D27" i="7"/>
  <c r="F27" i="7" s="1"/>
  <c r="D31" i="7"/>
  <c r="F31" i="7" s="1"/>
  <c r="D35" i="7"/>
  <c r="F35" i="7" s="1"/>
  <c r="D39" i="7"/>
  <c r="F39" i="7" s="1"/>
  <c r="K9" i="7"/>
  <c r="M9" i="7" s="1"/>
  <c r="K13" i="7"/>
  <c r="M13" i="7" s="1"/>
  <c r="K17" i="7"/>
  <c r="M17" i="7" s="1"/>
  <c r="K21" i="7"/>
  <c r="M21" i="7" s="1"/>
  <c r="K25" i="7"/>
  <c r="M25" i="7" s="1"/>
  <c r="K29" i="7"/>
  <c r="M29" i="7" s="1"/>
  <c r="K33" i="7"/>
  <c r="M33" i="7" s="1"/>
  <c r="K37" i="7"/>
  <c r="M37" i="7" s="1"/>
  <c r="K41" i="7"/>
  <c r="M41" i="7" s="1"/>
  <c r="H22" i="4"/>
  <c r="H18" i="4"/>
  <c r="A21" i="13"/>
  <c r="H39" i="13"/>
  <c r="H43" i="13"/>
  <c r="H52" i="13"/>
  <c r="G49" i="13" s="1"/>
  <c r="O107" i="3"/>
  <c r="K39" i="7"/>
  <c r="M39" i="7" s="1"/>
  <c r="K34" i="7"/>
  <c r="M34" i="7" s="1"/>
  <c r="K28" i="7"/>
  <c r="M28" i="7" s="1"/>
  <c r="K23" i="7"/>
  <c r="M23" i="7" s="1"/>
  <c r="K18" i="7"/>
  <c r="M18" i="7" s="1"/>
  <c r="K12" i="7"/>
  <c r="M12" i="7" s="1"/>
  <c r="K7" i="7"/>
  <c r="M7" i="7" s="1"/>
  <c r="D40" i="7"/>
  <c r="F40" i="7" s="1"/>
  <c r="D34" i="7"/>
  <c r="F34" i="7" s="1"/>
  <c r="D29" i="7"/>
  <c r="F29" i="7" s="1"/>
  <c r="D24" i="7"/>
  <c r="F24" i="7" s="1"/>
  <c r="D18" i="7"/>
  <c r="F18" i="7" s="1"/>
  <c r="D13" i="7"/>
  <c r="F13" i="7" s="1"/>
  <c r="D8" i="7"/>
  <c r="F8" i="7" s="1"/>
  <c r="H52" i="2"/>
  <c r="E2" i="2"/>
  <c r="D22" i="7"/>
  <c r="F22" i="7" s="1"/>
  <c r="D17" i="7"/>
  <c r="F17" i="7" s="1"/>
  <c r="D12" i="7"/>
  <c r="F12" i="7" s="1"/>
  <c r="D6" i="7"/>
  <c r="F6" i="7" s="1"/>
  <c r="H20" i="4"/>
  <c r="H41" i="2"/>
  <c r="H45" i="2"/>
  <c r="H51" i="2"/>
  <c r="H42" i="2"/>
  <c r="H46" i="2"/>
  <c r="H39" i="2"/>
  <c r="H43" i="2"/>
  <c r="H47" i="2"/>
  <c r="H15" i="4"/>
  <c r="H17" i="4"/>
  <c r="H19" i="4"/>
  <c r="H21" i="4"/>
  <c r="E3" i="2"/>
  <c r="H40" i="2"/>
  <c r="H44" i="2"/>
  <c r="D37" i="7"/>
  <c r="F37" i="7" s="1"/>
  <c r="D32" i="7"/>
  <c r="F32" i="7" s="1"/>
  <c r="D26" i="7"/>
  <c r="F26" i="7" s="1"/>
  <c r="D21" i="7"/>
  <c r="F21" i="7" s="1"/>
  <c r="D16" i="7"/>
  <c r="F16" i="7" s="1"/>
  <c r="D10" i="7"/>
  <c r="F10" i="7" s="1"/>
  <c r="D5" i="7"/>
  <c r="H56" i="2"/>
  <c r="Q158" i="3" s="1"/>
  <c r="Q54" i="3" s="1"/>
  <c r="H59" i="13"/>
  <c r="M167" i="3"/>
  <c r="K6" i="6"/>
  <c r="H55" i="2"/>
  <c r="H28" i="4"/>
  <c r="O53" i="5" s="1"/>
  <c r="S15" i="5" l="1"/>
  <c r="K26" i="5"/>
  <c r="L4" i="6"/>
  <c r="L5" i="6" s="1"/>
  <c r="L6" i="6" s="1"/>
  <c r="I167" i="3"/>
  <c r="Q26" i="5"/>
  <c r="O51" i="5"/>
  <c r="O27" i="5"/>
  <c r="Q20" i="3"/>
  <c r="S50" i="5"/>
  <c r="K20" i="3"/>
  <c r="Q143" i="3" s="1"/>
  <c r="Q40" i="3" s="1"/>
  <c r="M164" i="3"/>
  <c r="M163" i="3"/>
  <c r="Q50" i="5"/>
  <c r="H60" i="11"/>
  <c r="Q83" i="3" s="1"/>
  <c r="K106" i="3" s="1"/>
  <c r="K107" i="3" s="1"/>
  <c r="I59" i="9"/>
  <c r="Q82" i="3" s="1"/>
  <c r="I106" i="3" s="1"/>
  <c r="I107" i="3" s="1"/>
  <c r="L19" i="3"/>
  <c r="L20" i="3"/>
  <c r="Q135" i="3"/>
  <c r="Q35" i="3" s="1"/>
  <c r="I135" i="3"/>
  <c r="M135" i="3"/>
  <c r="O135" i="3"/>
  <c r="M136" i="3"/>
  <c r="G135" i="3"/>
  <c r="F106" i="3"/>
  <c r="F107" i="3" s="1"/>
  <c r="D42" i="7"/>
  <c r="K5" i="7" s="1"/>
  <c r="F3" i="7"/>
  <c r="F5" i="7"/>
  <c r="F42" i="7" s="1"/>
  <c r="K29" i="5"/>
  <c r="O29" i="5"/>
  <c r="S29" i="5"/>
  <c r="O30" i="5"/>
  <c r="Q29" i="5"/>
  <c r="M118" i="3"/>
  <c r="Q117" i="3"/>
  <c r="Q23" i="3" s="1"/>
  <c r="O117" i="3"/>
  <c r="M117" i="3"/>
  <c r="S38" i="5"/>
  <c r="O39" i="5"/>
  <c r="I38" i="5"/>
  <c r="K38" i="5"/>
  <c r="Q38" i="5"/>
  <c r="O38" i="5"/>
  <c r="S32" i="5"/>
  <c r="K32" i="5"/>
  <c r="O32" i="5"/>
  <c r="O33" i="5"/>
  <c r="Q32" i="5"/>
  <c r="M132" i="3"/>
  <c r="I132" i="3"/>
  <c r="M133" i="3"/>
  <c r="O132" i="3"/>
  <c r="Q132" i="3"/>
  <c r="Q33" i="3" s="1"/>
  <c r="G132" i="3"/>
  <c r="S23" i="5"/>
  <c r="Q23" i="5"/>
  <c r="O23" i="5"/>
  <c r="O24" i="5"/>
  <c r="H23" i="4"/>
  <c r="Q138" i="3"/>
  <c r="Q37" i="3" s="1"/>
  <c r="E138" i="3"/>
  <c r="M139" i="3"/>
  <c r="G138" i="3"/>
  <c r="I138" i="3"/>
  <c r="O138" i="3"/>
  <c r="M138" i="3"/>
  <c r="M123" i="3"/>
  <c r="I123" i="3"/>
  <c r="I2" i="5"/>
  <c r="L2" i="3"/>
  <c r="D4" i="4"/>
  <c r="S44" i="5"/>
  <c r="K44" i="5"/>
  <c r="Q44" i="5"/>
  <c r="O44" i="5"/>
  <c r="G44" i="5"/>
  <c r="O45" i="5"/>
  <c r="I44" i="5"/>
  <c r="Q53" i="5"/>
  <c r="O54" i="5"/>
  <c r="K53" i="5"/>
  <c r="S53" i="5"/>
  <c r="Q120" i="3"/>
  <c r="Q25" i="3" s="1"/>
  <c r="O120" i="3"/>
  <c r="I120" i="3"/>
  <c r="M120" i="3"/>
  <c r="M121" i="3"/>
  <c r="O41" i="5"/>
  <c r="Q41" i="5"/>
  <c r="O42" i="5"/>
  <c r="S41" i="5"/>
  <c r="I41" i="5"/>
  <c r="K41" i="5"/>
  <c r="O126" i="3"/>
  <c r="I126" i="3"/>
  <c r="Q126" i="3"/>
  <c r="Q29" i="3" s="1"/>
  <c r="M126" i="3"/>
  <c r="M127" i="3"/>
  <c r="H29" i="4"/>
  <c r="M159" i="3"/>
  <c r="I158" i="3"/>
  <c r="M158" i="3"/>
  <c r="M155" i="3"/>
  <c r="D5" i="4"/>
  <c r="K3" i="5"/>
  <c r="M2" i="3"/>
  <c r="S35" i="5"/>
  <c r="I35" i="5"/>
  <c r="K35" i="5"/>
  <c r="O35" i="5"/>
  <c r="Q35" i="5"/>
  <c r="O36" i="5"/>
  <c r="O129" i="3"/>
  <c r="M130" i="3"/>
  <c r="I129" i="3"/>
  <c r="M129" i="3"/>
  <c r="Q129" i="3"/>
  <c r="Q31" i="3" s="1"/>
  <c r="G129" i="3"/>
  <c r="Q114" i="3"/>
  <c r="M143" i="3"/>
  <c r="M144" i="3"/>
  <c r="Q84" i="3" l="1"/>
  <c r="O147" i="3"/>
  <c r="O167" i="3"/>
  <c r="Q167" i="3" s="1"/>
  <c r="Q61" i="3" s="1"/>
  <c r="O114" i="3"/>
  <c r="M114" i="3"/>
  <c r="K114" i="3"/>
  <c r="K132" i="3"/>
  <c r="K143" i="3"/>
  <c r="M35" i="5"/>
  <c r="K138" i="3"/>
  <c r="M38" i="5"/>
  <c r="M44" i="5"/>
  <c r="K117" i="3"/>
  <c r="K129" i="3"/>
  <c r="M23" i="5"/>
  <c r="K126" i="3"/>
  <c r="M32" i="5"/>
  <c r="M41" i="5"/>
  <c r="K120" i="3"/>
  <c r="K135" i="3"/>
  <c r="M26" i="5"/>
  <c r="M147" i="3"/>
  <c r="M29" i="5"/>
  <c r="M174" i="3"/>
  <c r="K123" i="3"/>
  <c r="I76" i="3"/>
  <c r="O163" i="3"/>
  <c r="O143" i="3"/>
  <c r="G57" i="13"/>
  <c r="G57" i="2"/>
  <c r="S55" i="5"/>
  <c r="O170" i="3" s="1"/>
  <c r="K42" i="7"/>
  <c r="Q86" i="3" s="1"/>
  <c r="M5" i="7"/>
  <c r="M42" i="7" s="1"/>
  <c r="G58" i="2" l="1"/>
  <c r="H57" i="2"/>
  <c r="H58" i="2" s="1"/>
  <c r="B105" i="3"/>
  <c r="I42" i="7"/>
  <c r="M105" i="3" s="1"/>
  <c r="H57" i="13"/>
  <c r="H58" i="13" s="1"/>
  <c r="G58" i="13"/>
  <c r="M170" i="3"/>
  <c r="Q170" i="3" s="1"/>
  <c r="Q64" i="3" s="1"/>
  <c r="H48" i="2" l="1"/>
  <c r="M124" i="3" s="1"/>
  <c r="I174" i="3"/>
  <c r="Q105" i="3"/>
  <c r="H48" i="13"/>
  <c r="F49" i="13" s="1"/>
  <c r="I7" i="8" l="1"/>
  <c r="Q19" i="3"/>
  <c r="O112" i="3" s="1"/>
  <c r="Q18" i="5" s="1"/>
  <c r="G15" i="8"/>
  <c r="I15" i="8" s="1"/>
  <c r="G14" i="8"/>
  <c r="I14" i="8" s="1"/>
  <c r="D25" i="2"/>
  <c r="C18" i="3" s="1"/>
  <c r="G13" i="8"/>
  <c r="I13" i="8" s="1"/>
  <c r="G10" i="8"/>
  <c r="I10" i="8" s="1"/>
  <c r="G16" i="8"/>
  <c r="I16" i="8" s="1"/>
  <c r="S14" i="5"/>
  <c r="S46" i="5" s="1"/>
  <c r="S57" i="5" s="1"/>
  <c r="G8" i="8"/>
  <c r="I8" i="8" s="1"/>
  <c r="M156" i="3"/>
  <c r="G9" i="8"/>
  <c r="I9" i="8" s="1"/>
  <c r="G11" i="8"/>
  <c r="I11" i="8" s="1"/>
  <c r="G12" i="8"/>
  <c r="I12" i="8" s="1"/>
  <c r="A49" i="13"/>
  <c r="D25" i="13"/>
  <c r="K112" i="3" l="1"/>
  <c r="M18" i="5" s="1"/>
  <c r="Q147" i="3"/>
  <c r="Q43" i="3" s="1"/>
  <c r="M112" i="3"/>
  <c r="O18" i="5" s="1"/>
  <c r="O150" i="3"/>
  <c r="Q150" i="3" s="1"/>
  <c r="Q46" i="3" s="1"/>
  <c r="I17" i="8"/>
  <c r="Q77" i="3" s="1"/>
  <c r="Q112" i="3"/>
  <c r="S18" i="5" l="1"/>
  <c r="O123" i="3"/>
  <c r="Q123" i="3" s="1"/>
  <c r="O155" i="3"/>
  <c r="Q155" i="3" s="1"/>
  <c r="Q115" i="3"/>
  <c r="O158" i="3"/>
  <c r="Q52" i="3" l="1"/>
  <c r="Q160" i="3"/>
  <c r="O174" i="3"/>
  <c r="Q174" i="3" s="1"/>
  <c r="Q68" i="3" s="1"/>
  <c r="Q75" i="3"/>
  <c r="Q79" i="3" s="1"/>
  <c r="C106" i="3" s="1"/>
  <c r="C107" i="3" s="1"/>
  <c r="Q27" i="3"/>
  <c r="Q140" i="3"/>
  <c r="Q172" i="3" l="1"/>
  <c r="Q66" i="3" s="1"/>
  <c r="Q55" i="3"/>
  <c r="Q38" i="3"/>
  <c r="Q152" i="3"/>
  <c r="Q48" i="3" l="1"/>
  <c r="Q176" i="3"/>
  <c r="Q71" i="3" l="1"/>
  <c r="Q70" i="3"/>
  <c r="Q85" i="3" l="1"/>
  <c r="B106" i="3"/>
  <c r="B107" i="3" l="1"/>
  <c r="G87" i="3"/>
  <c r="I90" i="3"/>
  <c r="Q87" i="3"/>
  <c r="M88" i="3" l="1"/>
  <c r="Q88" i="3" s="1"/>
  <c r="M106" i="3" s="1"/>
  <c r="Q90" i="3" l="1"/>
  <c r="M107" i="3"/>
  <c r="Q107" i="3" s="1"/>
  <c r="Q106" i="3"/>
</calcChain>
</file>

<file path=xl/comments1.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E34" authorId="1">
      <text>
        <r>
          <rPr>
            <b/>
            <sz val="8"/>
            <color indexed="81"/>
            <rFont val="Tahoma"/>
            <family val="2"/>
          </rPr>
          <t>Charles beau rain:</t>
        </r>
        <r>
          <rPr>
            <sz val="8"/>
            <color indexed="81"/>
            <rFont val="Tahoma"/>
            <family val="2"/>
          </rPr>
          <t xml:space="preserve">
Only ="Y" when specifically appointed as Principal agent.
</t>
        </r>
      </text>
    </comment>
    <comment ref="E36" authorId="1">
      <text>
        <r>
          <rPr>
            <b/>
            <sz val="8"/>
            <color indexed="81"/>
            <rFont val="Tahoma"/>
            <family val="2"/>
          </rPr>
          <t>Charles beau rain:</t>
        </r>
        <r>
          <rPr>
            <sz val="8"/>
            <color indexed="81"/>
            <rFont val="Tahoma"/>
            <family val="2"/>
          </rPr>
          <t xml:space="preserve">
Only ="Y" when specifically appointed as Principal agent.
</t>
        </r>
      </text>
    </comment>
    <comment ref="F49" authorId="1">
      <text>
        <r>
          <rPr>
            <b/>
            <sz val="8"/>
            <color indexed="81"/>
            <rFont val="Tahoma"/>
            <family val="2"/>
          </rPr>
          <t>Charles beau rain:</t>
        </r>
        <r>
          <rPr>
            <sz val="8"/>
            <color indexed="81"/>
            <rFont val="Tahoma"/>
            <family val="2"/>
          </rPr>
          <t xml:space="preserve">
</t>
        </r>
        <r>
          <rPr>
            <sz val="10"/>
            <color indexed="81"/>
            <rFont val="Tahoma"/>
            <family val="2"/>
          </rPr>
          <t>The total final value of K40 must be = K49</t>
        </r>
      </text>
    </comment>
    <comment ref="G49" authorId="1">
      <text>
        <r>
          <rPr>
            <b/>
            <sz val="10"/>
            <color indexed="81"/>
            <rFont val="Tahoma"/>
            <family val="2"/>
          </rPr>
          <t>Charles beau rain:</t>
        </r>
        <r>
          <rPr>
            <sz val="10"/>
            <color indexed="81"/>
            <rFont val="Tahoma"/>
            <family val="2"/>
          </rPr>
          <t xml:space="preserve">
The total final value in K43 must be = K51</t>
        </r>
      </text>
    </comment>
  </commentList>
</comments>
</file>

<file path=xl/comments2.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E34" authorId="1">
      <text>
        <r>
          <rPr>
            <b/>
            <sz val="8"/>
            <color indexed="81"/>
            <rFont val="Tahoma"/>
            <family val="2"/>
          </rPr>
          <t>Charles beau rain:</t>
        </r>
        <r>
          <rPr>
            <sz val="8"/>
            <color indexed="81"/>
            <rFont val="Tahoma"/>
            <family val="2"/>
          </rPr>
          <t xml:space="preserve">
Only ="Y" when specifically appointed as Principal agent.
</t>
        </r>
      </text>
    </comment>
    <comment ref="E36" authorId="1">
      <text>
        <r>
          <rPr>
            <b/>
            <sz val="8"/>
            <color indexed="81"/>
            <rFont val="Tahoma"/>
            <family val="2"/>
          </rPr>
          <t>Charles beau rain:</t>
        </r>
        <r>
          <rPr>
            <sz val="8"/>
            <color indexed="81"/>
            <rFont val="Tahoma"/>
            <family val="2"/>
          </rPr>
          <t xml:space="preserve">
Only ="Y" when specifically appointed as Principal agent.
</t>
        </r>
      </text>
    </comment>
    <comment ref="F49" authorId="1">
      <text>
        <r>
          <rPr>
            <b/>
            <sz val="8"/>
            <color indexed="81"/>
            <rFont val="Tahoma"/>
            <family val="2"/>
          </rPr>
          <t>Charles beau rain:</t>
        </r>
        <r>
          <rPr>
            <sz val="8"/>
            <color indexed="81"/>
            <rFont val="Tahoma"/>
            <family val="2"/>
          </rPr>
          <t xml:space="preserve">
</t>
        </r>
        <r>
          <rPr>
            <sz val="10"/>
            <color indexed="81"/>
            <rFont val="Tahoma"/>
            <family val="2"/>
          </rPr>
          <t>The total final value of K40 must be = K49</t>
        </r>
      </text>
    </comment>
    <comment ref="G49" authorId="1">
      <text>
        <r>
          <rPr>
            <b/>
            <sz val="10"/>
            <color indexed="81"/>
            <rFont val="Tahoma"/>
            <family val="2"/>
          </rPr>
          <t>Charles beau rain:</t>
        </r>
        <r>
          <rPr>
            <sz val="10"/>
            <color indexed="81"/>
            <rFont val="Tahoma"/>
            <family val="2"/>
          </rPr>
          <t xml:space="preserve">
The total final value in K43 must be = K51</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<sst xmlns="http://schemas.openxmlformats.org/spreadsheetml/2006/main" count="1106" uniqueCount="634">
  <si>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</si>
  <si>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</si>
  <si>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</si>
  <si>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</si>
  <si>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</si>
  <si>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</si>
  <si>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</si>
  <si>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</si>
  <si>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</si>
  <si>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</si>
  <si>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</si>
  <si>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</si>
  <si>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</si>
  <si>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</si>
  <si>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</si>
  <si>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</si>
  <si>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</si>
  <si>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</si>
  <si>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</si>
  <si>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PAYMENT CERTIFICATE NO:</t>
  </si>
  <si>
    <t>SERVICE:</t>
  </si>
  <si>
    <t>INVOICE NUMBER:</t>
  </si>
  <si>
    <t>OF</t>
  </si>
  <si>
    <t>AMOUNT DUE</t>
  </si>
  <si>
    <t>NOTE:</t>
  </si>
  <si>
    <t>x</t>
  </si>
  <si>
    <t>Designation</t>
  </si>
  <si>
    <t>BASIC FEE</t>
  </si>
  <si>
    <t>PRINCIPAL AGENT (Y/N)</t>
  </si>
  <si>
    <t>DATE APPOINTED :</t>
  </si>
  <si>
    <t>TARIFF OF FEES TO APPLY :</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</si>
  <si>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</si>
  <si>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</si>
  <si>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</si>
  <si>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</si>
  <si>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</si>
  <si>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</si>
  <si>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</si>
  <si>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</si>
  <si>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</si>
  <si>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</si>
  <si>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</si>
  <si>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</si>
  <si>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</si>
  <si>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</si>
  <si>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</si>
  <si>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</si>
  <si>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</si>
  <si>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</si>
  <si>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</si>
  <si>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</si>
  <si>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</si>
  <si>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</si>
  <si>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</si>
  <si>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</si>
  <si>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</si>
  <si>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</si>
  <si>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</si>
  <si>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</si>
  <si>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</si>
  <si>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</si>
  <si>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</si>
  <si>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</si>
  <si>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</si>
  <si>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</si>
  <si>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</si>
  <si>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</si>
  <si>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</si>
  <si>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</si>
  <si>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</si>
  <si>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</si>
  <si>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</si>
  <si>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</si>
  <si>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</si>
  <si>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</si>
  <si>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</si>
  <si>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</si>
  <si>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</si>
  <si>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</si>
  <si>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</si>
  <si>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</si>
  <si>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</si>
  <si>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</si>
  <si>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</si>
  <si>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</si>
  <si>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</si>
  <si>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</si>
  <si>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</si>
  <si>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</si>
  <si>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</si>
  <si>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</si>
  <si>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</si>
  <si>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</si>
  <si>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</si>
  <si>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</si>
  <si>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</si>
  <si>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</si>
  <si>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</si>
  <si>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</si>
  <si>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</si>
  <si>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</si>
  <si>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</si>
  <si>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</si>
  <si>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</si>
  <si>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</si>
  <si>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</si>
  <si>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</si>
  <si>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</si>
  <si>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</si>
  <si>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</si>
  <si>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</si>
  <si>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</si>
  <si>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</si>
  <si>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</si>
  <si>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</si>
  <si>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</si>
  <si>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</si>
  <si>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</si>
  <si>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</si>
  <si>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</si>
  <si>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</si>
  <si>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CLAIM</t>
  </si>
  <si>
    <t>MAXIMUM FOR "AGENT OF THE CLIENT"</t>
  </si>
  <si>
    <t xml:space="preserve"> Report: Time Based fees </t>
  </si>
  <si>
    <t>TYPE OF PROJECT:</t>
  </si>
  <si>
    <t>WORK ON ALTERATIONS TO EXISTING FACILITIES</t>
  </si>
  <si>
    <r>
      <t>2. Time Based fees:</t>
    </r>
    <r>
      <rPr>
        <b/>
        <sz val="11"/>
        <color indexed="10"/>
        <rFont val="Arial"/>
        <family val="2"/>
      </rPr>
      <t xml:space="preserve"> AGENT OF THE CLIENT</t>
    </r>
  </si>
  <si>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</si>
  <si>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</si>
  <si>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</si>
  <si>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</si>
  <si>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</si>
  <si>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</si>
  <si>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</si>
  <si>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</si>
  <si>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</si>
  <si>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</si>
  <si>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</si>
  <si>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</si>
  <si>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t>TOTAL VALUE OF ENGINEERING WORK :</t>
  </si>
  <si>
    <t>TOTAL VALUE OF WORKS :</t>
  </si>
  <si>
    <t>DATE OF INVOICE</t>
  </si>
  <si>
    <t>TOTAL FEE FOR WATER AND WASTE WATER TREATMENT WORKS ONLY</t>
  </si>
  <si>
    <t>INPUT VALUES FOR WATER AND WASTE WATER TREATMENT WORKS ONLY</t>
  </si>
  <si>
    <t>TOTAL BASIC FEE</t>
  </si>
  <si>
    <t>STAGE</t>
  </si>
  <si>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</si>
  <si>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</si>
  <si>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</si>
  <si>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</si>
  <si>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t>VALUE FOR CALCULATION PURPOSES</t>
  </si>
  <si>
    <t>BASIC FEE FOR WATER AND WASTE WATER TREATMENT WORKS</t>
  </si>
  <si>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</si>
  <si>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</si>
  <si>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</si>
  <si>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</si>
  <si>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</si>
  <si>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</si>
  <si>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</si>
  <si>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</si>
  <si>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</si>
  <si>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POSTAL ADDRESS:</t>
  </si>
  <si>
    <t>TELEPHONE &amp; FACSIMILE NUMBERS</t>
  </si>
  <si>
    <t>FEES CODE (YEAR)</t>
  </si>
  <si>
    <t>AGENT OF THE CLIENT (OHSA) (Only on Engineering project) (Y/N)</t>
  </si>
  <si>
    <t>Tel</t>
  </si>
  <si>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</si>
  <si>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</si>
  <si>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</si>
  <si>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</si>
  <si>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</si>
  <si>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</si>
  <si>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</si>
  <si>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</si>
  <si>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REPORT STAGE </t>
    </r>
    <r>
      <rPr>
        <b/>
        <sz val="10"/>
        <color indexed="10"/>
        <rFont val="Arial"/>
        <family val="2"/>
      </rPr>
      <t>(If specifically appointed for this service only)</t>
    </r>
  </si>
  <si>
    <t>WORK NOT AFFECTED BY ANY OTHER FACTORS.</t>
  </si>
  <si>
    <t>ALTERATIONS TO EXISTING FACILITIES NOT AFFECTED BY ANY FACTOR OTHER THAN 1.25. (Including concrete cladding)</t>
  </si>
  <si>
    <t>MASS CONCRETE FOUNDATIONS, BRICKWORK AND CLADDING NOT AFFECTED BY ANY FACTOR OTHER THAN 0.33.</t>
  </si>
  <si>
    <t xml:space="preserve">FEE FOR  PRELIMINARY DESIGN, DESIGN &amp; TENDER AND WORKING DRAWING STAGES FOR WATER AND WASTE WATER TREATMENT WORKS </t>
  </si>
  <si>
    <t xml:space="preserve">FEE (d): TIME BASED FEES </t>
  </si>
  <si>
    <t>FEE (e): FEES FOR EXPENSES AND COSTS (DISBURSEMENTS)</t>
  </si>
  <si>
    <t>CONSTRUCTION MONITORING ONLY</t>
  </si>
  <si>
    <t>Cell</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</si>
  <si>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</si>
  <si>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</si>
  <si>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</si>
  <si>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</si>
  <si>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</si>
  <si>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</si>
  <si>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</si>
  <si>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</si>
  <si>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VALUE OF WORK COMPLETED NOT AFFECTED BY ANY FACTORS</t>
  </si>
  <si>
    <t>2. VALUE OF ALL ALTERATIONS TO EXISTING FACILITIES COMPLETED NOT AFFECTED BY ANY FACTOR OTHER THAN THE 1.25.</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</si>
  <si>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</si>
  <si>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</si>
  <si>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</si>
  <si>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</si>
  <si>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</si>
  <si>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</si>
  <si>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</si>
  <si>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</si>
  <si>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</si>
  <si>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</si>
  <si>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</si>
  <si>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</si>
  <si>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</si>
  <si>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VALUE OF WATER &amp; WASTEWATER TREATMENT WORKS COMPLETED AFFECTED BY THE 1.25 FACTOR. (Carried over from the "WTW Input" sheet)</t>
  </si>
  <si>
    <t>1. VALUE OF WATER &amp; WASTE WATER TREATMENT WORKS NOT AFFECTED BY OTHER FACTORS</t>
  </si>
  <si>
    <t>ATTACHED TO CLAIM NO</t>
  </si>
  <si>
    <t>PAYMENT NO</t>
  </si>
  <si>
    <t>1</t>
  </si>
  <si>
    <t>CARRIED OVER</t>
  </si>
  <si>
    <t>38</t>
  </si>
  <si>
    <t>TRAVELLING  TIME</t>
  </si>
  <si>
    <t>Travelling Time</t>
  </si>
  <si>
    <t xml:space="preserve">CONSTRUCTION MONITORING  &amp; OTHER </t>
  </si>
  <si>
    <t>Time Based fees: Other</t>
  </si>
  <si>
    <t>Construction monitoring &amp; Other TOTAL Excl VAT</t>
  </si>
  <si>
    <t>INPUT ALL INFORMATION FOR THE WHOLE PROJECT</t>
  </si>
  <si>
    <t>Travelling Time Total Excl VAT)</t>
  </si>
  <si>
    <t>Travelling &amp; Public Transport Total Excl VAT</t>
  </si>
  <si>
    <t>Toll Gates</t>
  </si>
  <si>
    <t>Typing Duplicating &amp; Printing TOTAL Excl VAT</t>
  </si>
  <si>
    <t>Site Staff &amp; Other Charges Total Excl VAT</t>
  </si>
  <si>
    <t>NOTE ALL ITEMS MUST EXCLUDE VAT</t>
  </si>
  <si>
    <t>NOTE: ALL ITEMS MUST INCLUDE VAT</t>
  </si>
  <si>
    <t>Travelling expenses Total</t>
  </si>
  <si>
    <t>Hours claimed</t>
  </si>
  <si>
    <t>TOTAL VALUE OF REINFORCED CONCRETE &amp; STRUCTURAL STEEL :</t>
  </si>
  <si>
    <t>PLUS NON TAXABLE EXPENSES</t>
  </si>
  <si>
    <t xml:space="preserve">FEE FOR CONSTRUCTION AND COMPLETION STAGE OF WATER AND WASTE WATER TREATMENT WORKS </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</si>
  <si>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</si>
  <si>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</si>
  <si>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</si>
  <si>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</si>
  <si>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</si>
  <si>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PERCENTAGE OF FEE TENDERED</t>
  </si>
  <si>
    <t>DUE</t>
  </si>
  <si>
    <t>% OF STANDARD FEES TENDERED FOR PROFESSIONAL SERVICES</t>
  </si>
  <si>
    <t>(Not applicable in case of a tender for professional services)</t>
  </si>
  <si>
    <t>E-MAIL ADDRESS</t>
  </si>
  <si>
    <t>DRAWING NUMBER</t>
  </si>
  <si>
    <t>TEL NO</t>
  </si>
  <si>
    <t>CELL PHONE NO</t>
  </si>
  <si>
    <t>FACSIMILE  NO:</t>
  </si>
  <si>
    <t>COMPANY REGISTRATION NUMBER</t>
  </si>
  <si>
    <t>CLIENT</t>
  </si>
  <si>
    <t>POSTAL ADDRESS</t>
  </si>
  <si>
    <t>POST OFFICE</t>
  </si>
  <si>
    <t>POSTAL CODE</t>
  </si>
  <si>
    <t>STREET &amp; NO</t>
  </si>
  <si>
    <t>TOWN/CITY</t>
  </si>
  <si>
    <t>FAX NO</t>
  </si>
  <si>
    <t>INVOICE NO</t>
  </si>
  <si>
    <t>FAX-TO-EMAIL</t>
  </si>
  <si>
    <t>DRAWING NO:</t>
  </si>
  <si>
    <t>FILE NUMBER:</t>
  </si>
  <si>
    <t>VAT REGISTRATION NO:</t>
  </si>
  <si>
    <t>POST OFF</t>
  </si>
  <si>
    <t>TOWN</t>
  </si>
  <si>
    <t>BUILDING NAME</t>
  </si>
  <si>
    <t>TEL</t>
  </si>
  <si>
    <t>FAX</t>
  </si>
  <si>
    <t>FAX2</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</si>
  <si>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</si>
  <si>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</si>
  <si>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</si>
  <si>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</si>
  <si>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</si>
  <si>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</si>
  <si>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</si>
  <si>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</si>
  <si>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</si>
  <si>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</si>
  <si>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</si>
  <si>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</si>
  <si>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</si>
  <si>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</si>
  <si>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</si>
  <si>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</si>
  <si>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</si>
  <si>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</si>
  <si>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</si>
  <si>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</si>
  <si>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</si>
  <si>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</si>
  <si>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SERVICE</t>
  </si>
  <si>
    <t>cse09</t>
  </si>
  <si>
    <t>ADDRESS</t>
  </si>
  <si>
    <t>Site Staff &amp; Other Charges Total Incl. VAT</t>
  </si>
  <si>
    <t>ENGINEERING PROJECT</t>
  </si>
  <si>
    <t>2010 Scales</t>
  </si>
  <si>
    <t>SCALE_2010SE1</t>
  </si>
  <si>
    <t>SCALE_2010SE2</t>
  </si>
  <si>
    <t>1. TOTAL REINFORCED CONCRETE &amp; STRUCTURAL STEEL WORK  BY THE ENGINEER APPROPRIATE TO CLAUSE 4.2.1 (2)  OF THE GAZETTE.</t>
  </si>
  <si>
    <t>1. VALUE OF REINFORCED CONCRETE &amp; STRUCTURAL STEEL WORK  COMPLETED APPROPRIATE TO CLAUSE 4.2.1 (2)  OF THE GAZETTE.</t>
  </si>
  <si>
    <t>VALUE OF ALL WORK COMPLETED, APPROPRIATE TO CLAUSE 4.2.1.(1) OF THE GAZETTE</t>
  </si>
  <si>
    <t>TOTAL PERCENTAGE BASED PROFESSIONAL FEES DUE</t>
  </si>
  <si>
    <t>WCS NO</t>
  </si>
  <si>
    <t>WCS NO:</t>
  </si>
  <si>
    <t xml:space="preserve">WCS NO: </t>
  </si>
  <si>
    <t>NATIONAL DEPARTMENT OF PUBLIC WORKS</t>
  </si>
  <si>
    <t>DPW PROJECT MANAGER</t>
  </si>
  <si>
    <t>DPW FILE NUMBER:</t>
  </si>
  <si>
    <t>WCS NUMBER</t>
  </si>
  <si>
    <t>WORKBOOK FOR THE CALCULATION OF CONSULTING ENGINEER'S FEES IN TERMS OF THE GUIDELINE FOR SERVICES AND FEES PUBLISHED BY ECSA AS AMENDED BY DPW</t>
  </si>
  <si>
    <t>TOTAL VALUE OF ALL WORK BY THE ENGINEER APPROPRIATE TO CLAUSE 4.2.1.(1) OF THE GAZETTE</t>
  </si>
  <si>
    <t>TOTAL VALUE OF ALL WORK BY THE ENGINEER APPROPRIATE TO CLAUSE 4.2.1.(1) OF THE GUIDELINE. (Carried over to the Main Input sheet)</t>
  </si>
  <si>
    <t>TOTAL VALUE OF ALL W &amp; WTW WORK COMPLETED, APPROPRIATE TO CLAUSE 4.2.1.(1) OF THE GAZETTE. Carried over to the "Main Input" sheet)</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</si>
  <si>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</si>
  <si>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</si>
  <si>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</si>
  <si>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</si>
  <si>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see10</t>
  </si>
  <si>
    <t>DISCIPLINE APPOINTED</t>
  </si>
  <si>
    <t>CIVIL &amp; STRUCTURAL ENGINEERING</t>
  </si>
  <si>
    <t>Y</t>
  </si>
  <si>
    <t>(c) FEE FOR TARGETED/PREFERENTIAL PROCUREMENT</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</si>
  <si>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</si>
  <si>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</si>
  <si>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</si>
  <si>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</si>
  <si>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N</t>
  </si>
  <si>
    <t>WCS CONTRACT NUMBER</t>
  </si>
  <si>
    <t xml:space="preserve">CONSULTANT NAME </t>
  </si>
  <si>
    <t>%</t>
  </si>
  <si>
    <t>ADDITIONAL FEE FOR REINFORCED CONCRETE &amp; STRUCTURAL STEEL. (Clause 4.2.1 (2) of the Guideline)</t>
  </si>
  <si>
    <t>BASIC FEE (Clause 4.2.1 (1) of the Guideline)</t>
  </si>
  <si>
    <t>CALCULATIONS</t>
  </si>
  <si>
    <t>CLOSE OUT</t>
  </si>
  <si>
    <t>TOTAL PERCENTAGE BASED FEES FOR ALL STAGES ((a)+(b)+(c))</t>
  </si>
  <si>
    <t>TO</t>
  </si>
  <si>
    <t>WCS CONTRACT NO</t>
  </si>
  <si>
    <t>CONSULTANT REF</t>
  </si>
  <si>
    <t>WATER AND WASTEWATER TREATMENT WORKS AFFECTED BY THE 1.25 FACTOR</t>
  </si>
  <si>
    <t>CALCULATIONS FOR WATER AND WASTE WATER TREATMENT WORKS</t>
  </si>
  <si>
    <t>FROM</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</si>
  <si>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</si>
  <si>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</si>
  <si>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</si>
  <si>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</si>
  <si>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</si>
  <si>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</si>
  <si>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</si>
  <si>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</si>
  <si>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</si>
  <si>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</si>
  <si>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</si>
  <si>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</si>
  <si>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</si>
  <si>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</si>
  <si>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</si>
  <si>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</si>
  <si>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</si>
  <si>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</si>
  <si>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</si>
  <si>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</si>
  <si>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</si>
  <si>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Claim No</t>
  </si>
  <si>
    <t>Claim No:</t>
  </si>
  <si>
    <t>Previously claimed</t>
  </si>
  <si>
    <t>A6089/002/9</t>
  </si>
  <si>
    <t>CE 56789/001/6</t>
  </si>
  <si>
    <t>CONSULTANT OFFICE ADDRESS</t>
  </si>
  <si>
    <t>OFFICE ADDRESS/ BUILDING NAME</t>
  </si>
  <si>
    <t>Paul Mashinga</t>
  </si>
  <si>
    <t>Paul.mashinga@dpw.gov.za</t>
  </si>
  <si>
    <t>012 337 2345</t>
  </si>
  <si>
    <t>082 699 3459</t>
  </si>
  <si>
    <t>John Engineer CC</t>
  </si>
  <si>
    <t>P O Box 11111, Boksburg</t>
  </si>
  <si>
    <t>Brightstar building 214, Peach str 1023, Boksburg</t>
  </si>
  <si>
    <t>011 769 3456</t>
  </si>
  <si>
    <t>011 769 3011</t>
  </si>
  <si>
    <t>je@telkom.net</t>
  </si>
  <si>
    <t>400-45678-10</t>
  </si>
  <si>
    <t>CODE</t>
  </si>
  <si>
    <t>OFFICE ADDRESS.</t>
  </si>
  <si>
    <t>ESTIMATES ONLY</t>
  </si>
  <si>
    <t>12345678</t>
  </si>
  <si>
    <t>TARGETED PROCUREMENT (Y/N)</t>
  </si>
  <si>
    <r>
      <t xml:space="preserve">1. TOTAL COST OF THE WORKS COMPRISING THE PROJECT COMPLETED, DURING CONSTRUCTION &amp; COMPLETION STAGES INCLUDING P&amp;G &amp; CPA. </t>
    </r>
    <r>
      <rPr>
        <b/>
        <sz val="11"/>
        <color indexed="10"/>
        <rFont val="Arial"/>
        <family val="2"/>
      </rPr>
      <t>(Only if the engineer is appointed as principal agent)</t>
    </r>
  </si>
  <si>
    <t>CONSULTANT</t>
  </si>
  <si>
    <t>Private Bag X65</t>
  </si>
  <si>
    <t>PRETORIA</t>
  </si>
  <si>
    <t>0001</t>
  </si>
  <si>
    <t>Public Works House</t>
  </si>
  <si>
    <t>Pretorius Street 445</t>
  </si>
  <si>
    <t>0002</t>
  </si>
  <si>
    <t>012 337 2000</t>
  </si>
  <si>
    <t>012 337 3276</t>
  </si>
  <si>
    <t>086 666 0000</t>
  </si>
  <si>
    <t>Nelspruit Police Station</t>
  </si>
  <si>
    <t>082 344 6756</t>
  </si>
  <si>
    <t>086 610 0300</t>
  </si>
  <si>
    <t>Service DPW567/102</t>
  </si>
  <si>
    <t>CONSULTING ENG.</t>
  </si>
  <si>
    <t>FAX 1</t>
  </si>
  <si>
    <t xml:space="preserve">    TAX INVOICE</t>
  </si>
  <si>
    <r>
      <t>CONTRACT ADMINISTRATION &amp; INSPECTION AND CLOSE-OUT STAGES</t>
    </r>
    <r>
      <rPr>
        <b/>
        <i/>
        <sz val="14"/>
        <color indexed="10"/>
        <rFont val="Arial"/>
        <family val="2"/>
      </rPr>
      <t xml:space="preserve"> (INTERIM PAYMENTS)                                                                                                   ALL VALUES MUST INCLUDE RELEVANT PROPORTION OF P&amp;G AND CPA</t>
    </r>
  </si>
  <si>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</si>
  <si>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DPW/001</t>
  </si>
  <si>
    <t>CONSULTING ENGINEER</t>
  </si>
  <si>
    <t>PAGE II OF INPUT DATA</t>
  </si>
  <si>
    <r>
      <t>INCEPTION,  PRELIMINARY DESIGN: CONCEPT AND VIABILITY,  DETAIL DESIGN, DOCUMENTATION AND PROCUREMENT STAGES, ALL VALUES MUST INCLUDE RELEVANT PROPORTION OF P&amp;G AND CPA DURING CONSTRUCTION STAGE.</t>
    </r>
    <r>
      <rPr>
        <b/>
        <i/>
        <sz val="12"/>
        <color indexed="10"/>
        <rFont val="Arial"/>
        <family val="2"/>
      </rPr>
      <t>AND ARE AFFECTED BY THE ADDIONAL FEE FACTOR OF 1.25.</t>
    </r>
  </si>
  <si>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THE ADDIONAL FEE FACTOR OF 1.25.</t>
    </r>
  </si>
  <si>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</si>
  <si>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</si>
  <si>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(D) FINAL MEASURED VALUES INCL. CPA &amp; P&amp;G </t>
    </r>
    <r>
      <rPr>
        <b/>
        <sz val="11"/>
        <color indexed="10"/>
        <rFont val="Arial"/>
        <family val="2"/>
      </rPr>
      <t>(STAGE 6 ONLY)</t>
    </r>
  </si>
  <si>
    <t>CONSULTING ENG</t>
  </si>
  <si>
    <t>PAGE 3 OF INVOICE</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</si>
  <si>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</si>
  <si>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FEES DUE (EXCL VAT)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</si>
  <si>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</si>
  <si>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</si>
  <si>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</si>
  <si>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</si>
  <si>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</si>
  <si>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</si>
  <si>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TOTAL TIME BASED FEES (d)</t>
  </si>
  <si>
    <t>TOTAL EXPENSES AND COSTS (DISBURSEMENT FEES) (e)</t>
  </si>
  <si>
    <t>COMMENTS</t>
  </si>
  <si>
    <t>LESS PENALTY</t>
  </si>
  <si>
    <t>PENALTY APPLIED</t>
  </si>
  <si>
    <t>PERCENTAGE OF STAGE COMPLETED</t>
  </si>
  <si>
    <t>Stage 1</t>
  </si>
  <si>
    <t>Inception</t>
  </si>
  <si>
    <t>Stage 2</t>
  </si>
  <si>
    <t>Stage 3</t>
  </si>
  <si>
    <t>Stage 4</t>
  </si>
  <si>
    <t>Documentation and Procurement</t>
  </si>
  <si>
    <t>Apportionment</t>
  </si>
  <si>
    <t>Progress</t>
  </si>
  <si>
    <t>Preliminary Design: Concept and Viability</t>
  </si>
  <si>
    <t>Detail Design</t>
  </si>
  <si>
    <t>Factor</t>
  </si>
  <si>
    <t xml:space="preserve">Stage </t>
  </si>
  <si>
    <t>Description</t>
  </si>
  <si>
    <t xml:space="preserve">Detail Design </t>
  </si>
  <si>
    <t>Contract Administration and Inspection</t>
  </si>
  <si>
    <t>Close-Out</t>
  </si>
  <si>
    <t>100</t>
  </si>
  <si>
    <t>NO</t>
  </si>
  <si>
    <t>YES</t>
  </si>
  <si>
    <t>NOT REGISTERED</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</si>
  <si>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</si>
  <si>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</si>
  <si>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</si>
  <si>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</si>
  <si>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</si>
  <si>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</si>
  <si>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</si>
  <si>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</si>
  <si>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</si>
  <si>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</si>
  <si>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</si>
  <si>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</si>
  <si>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</si>
  <si>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</si>
  <si>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</si>
  <si>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</si>
  <si>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</si>
  <si>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PLEASE READ THE NOTES (1st SHEET) BEFORE STARTING TO POPULATE THE SHEETS. COMPLETE ALL YELLOW CELLS!!!"</t>
  </si>
  <si>
    <t>Version: 1.5  2012-10</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</si>
  <si>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</si>
  <si>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</si>
  <si>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</si>
  <si>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</si>
  <si>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</si>
  <si>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</si>
  <si>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</si>
  <si>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</si>
  <si>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</si>
  <si>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</si>
  <si>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</si>
  <si>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</si>
  <si>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</si>
  <si>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</si>
  <si>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</si>
  <si>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</si>
  <si>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</si>
  <si>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</si>
  <si>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</si>
  <si>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</si>
  <si>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</si>
  <si>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</si>
  <si>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</si>
  <si>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</si>
  <si>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</si>
  <si>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</si>
  <si>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</si>
  <si>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</si>
  <si>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</si>
  <si>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</si>
  <si>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</si>
  <si>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</si>
  <si>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</si>
  <si>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</si>
  <si>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</si>
  <si>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</si>
  <si>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</si>
  <si>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</si>
  <si>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</si>
  <si>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</si>
  <si>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</si>
  <si>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</si>
  <si>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</si>
  <si>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</si>
  <si>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</si>
  <si>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</si>
  <si>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</si>
  <si>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</si>
  <si>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</si>
  <si>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</si>
  <si>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</si>
  <si>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</si>
  <si>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</si>
  <si>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</si>
  <si>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</si>
  <si>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</si>
  <si>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</si>
  <si>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</si>
  <si>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</si>
  <si>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</si>
  <si>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</si>
  <si>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</si>
  <si>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</si>
  <si>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</si>
  <si>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</si>
  <si>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</si>
  <si>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</si>
  <si>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</si>
  <si>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</si>
  <si>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</si>
  <si>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</si>
  <si>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</si>
  <si>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</si>
  <si>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</si>
  <si>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</si>
  <si>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</si>
  <si>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</si>
  <si>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</si>
  <si>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</si>
  <si>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</si>
  <si>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</si>
  <si>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</si>
  <si>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</si>
  <si>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</si>
  <si>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</si>
  <si>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</si>
  <si>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</si>
  <si>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</si>
  <si>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</si>
  <si>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</si>
  <si>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</si>
  <si>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</si>
  <si>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</si>
  <si>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</si>
  <si>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</si>
  <si>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</si>
  <si>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</si>
  <si>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</si>
  <si>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</si>
  <si>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</si>
  <si>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</si>
  <si>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</si>
  <si>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</si>
  <si>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</si>
  <si>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</si>
  <si>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</si>
  <si>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</si>
  <si>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</si>
  <si>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</si>
  <si>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</si>
  <si>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</si>
  <si>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</si>
  <si>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</si>
  <si>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</si>
  <si>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</si>
  <si>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</si>
  <si>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</si>
  <si>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</si>
  <si>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</si>
  <si>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</si>
  <si>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</si>
  <si>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</si>
  <si>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</si>
  <si>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</si>
  <si>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</si>
  <si>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</si>
  <si>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</si>
  <si>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</si>
  <si>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</si>
  <si>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</si>
  <si>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</si>
  <si>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</si>
  <si>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</si>
  <si>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</si>
  <si>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</si>
  <si>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</si>
  <si>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</si>
  <si>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</si>
  <si>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</si>
  <si>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</si>
  <si>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</si>
  <si>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</si>
  <si>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</si>
  <si>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</si>
  <si>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</si>
  <si>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</si>
  <si>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</si>
  <si>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</si>
  <si>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</si>
  <si>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</si>
  <si>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</si>
  <si>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</si>
  <si>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</si>
  <si>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</si>
  <si>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</si>
  <si>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</si>
  <si>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</si>
  <si>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</si>
  <si>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</si>
  <si>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</si>
  <si>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</si>
  <si>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</si>
  <si>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</si>
  <si>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</si>
  <si>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</si>
  <si>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</si>
  <si>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</si>
  <si>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PREVIOUS CLAIMS</t>
  </si>
  <si>
    <t>3. Subsistence Charges [See your letter of appointment. Use either Table 4 or Table 5, not both]</t>
  </si>
  <si>
    <t>INCEPTION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</si>
</sst>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quot;R&quot;\ #,##0;[Red]&quot;R&quot;\ \-#,##0"/>
    <numFmt numFmtId="165" formatCode="_ &quot;R&quot;\ * #,##0_ ;_ &quot;R&quot;\ * \-#,##0_ ;_ &quot;R&quot;\ * &quot;-&quot;_ ;_ @_ "/>
    <numFmt numFmtId="166" formatCode="_ &quot;R&quot;\ * #,##0.00_ ;_ &quot;R&quot;\ * \-#,##0.00_ ;_ &quot;R&quot;\ * &quot;-&quot;??_ ;_ @_ "/>
    <numFmt numFmtId="167" formatCode="&quot;R&quot;\ #,##0_);\(&quot;R&quot;\ #,##0\)"/>
    <numFmt numFmtId="168" formatCode="&quot;R&quot;\ #,##0.00_);\(&quot;R&quot;\ #,##0.00\)"/>
    <numFmt numFmtId="169" formatCode="#.00"/>
    <numFmt numFmtId="170" formatCode="#."/>
    <numFmt numFmtId="171" formatCode="m\o\n\th\ d\,\ yyyy"/>
    <numFmt numFmtId="172" formatCode="0.0%"/>
    <numFmt numFmtId="173" formatCode="&quot;R&quot;\ #,##0.00"/>
    <numFmt numFmtId="174" formatCode="[$-1C09]dd\ mmmm\ yyyy;@"/>
    <numFmt numFmtId="175" formatCode="&quot;R&quot;\ #,##0"/>
    <numFmt numFmtId="176" formatCode="General_)"/>
    <numFmt numFmtId="177" formatCode="dd\ mmmm\ yyyy"/>
    <numFmt numFmtId="178" formatCode="0.000"/>
    <numFmt numFmtId="179" formatCode="dd\-mmm\-yyyy"/>
    <numFmt numFmtId="180" formatCode="000000"/>
    <numFmt numFmtId="181" formatCode="000"/>
    <numFmt numFmtId="182" formatCode="#\ ###\ ##0.00;\(#\ ###\ ##0.00\);\ \ \-\ \ "/>
    <numFmt numFmtId="183" formatCode="0000"/>
    <numFmt numFmtId="184" formatCode="0.0"/>
    <numFmt numFmtId="185" formatCode="00"/>
    <numFmt numFmtId="186" formatCode="[$R-1C09]\ #,##0.00"/>
  </numFmts>
  <fonts count="127"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b/>
      <sz val="15"/>
      <name val="Arial"/>
      <family val="2"/>
    </font>
    <font>
      <b/>
      <sz val="12"/>
      <name val="Courier"/>
      <family val="3"/>
    </font>
    <font>
      <b/>
      <sz val="12"/>
      <color indexed="10"/>
      <name val="Arial"/>
      <family val="2"/>
    </font>
    <font>
      <b/>
      <i/>
      <sz val="12"/>
      <color indexed="10"/>
      <name val="Arial"/>
      <family val="2"/>
    </font>
    <font>
      <i/>
      <sz val="10"/>
      <name val="Arial"/>
      <family val="2"/>
    </font>
    <font>
      <b/>
      <i/>
      <sz val="10"/>
      <name val="Arial"/>
      <family val="2"/>
    </font>
    <font>
      <b/>
      <i/>
      <sz val="12"/>
      <name val="Arial"/>
      <family val="2"/>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4"/>
      <name val="Arial"/>
      <family val="2"/>
    </font>
    <font>
      <b/>
      <i/>
      <sz val="10"/>
      <color indexed="10"/>
      <name val="Arial"/>
      <family val="2"/>
    </font>
    <font>
      <b/>
      <sz val="12"/>
      <color indexed="8"/>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sz val="11"/>
      <name val="Arial"/>
      <family val="2"/>
    </font>
    <font>
      <i/>
      <sz val="14"/>
      <name val="Arial"/>
      <family val="2"/>
    </font>
    <font>
      <b/>
      <sz val="20"/>
      <color indexed="10"/>
      <name val="Arial"/>
      <family val="2"/>
    </font>
    <font>
      <b/>
      <u/>
      <sz val="12"/>
      <color indexed="16"/>
      <name val="Arial"/>
      <family val="2"/>
    </font>
    <font>
      <b/>
      <sz val="12"/>
      <color indexed="16"/>
      <name val="Arial"/>
      <family val="2"/>
    </font>
    <font>
      <sz val="12"/>
      <color indexed="16"/>
      <name val="Arial"/>
      <family val="2"/>
    </font>
    <font>
      <b/>
      <u/>
      <sz val="10"/>
      <color indexed="16"/>
      <name val="Arial"/>
      <family val="2"/>
    </font>
    <font>
      <sz val="20"/>
      <color indexed="10"/>
      <name val="Arial"/>
      <family val="2"/>
    </font>
    <font>
      <sz val="16"/>
      <name val="Arial"/>
      <family val="2"/>
    </font>
    <font>
      <sz val="9"/>
      <name val="Arial"/>
      <family val="2"/>
    </font>
    <font>
      <b/>
      <u/>
      <sz val="12"/>
      <name val="Arial"/>
      <family val="2"/>
    </font>
    <font>
      <b/>
      <i/>
      <u/>
      <sz val="14"/>
      <color indexed="8"/>
      <name val="Arial"/>
      <family val="2"/>
    </font>
    <font>
      <b/>
      <u/>
      <sz val="12"/>
      <color indexed="10"/>
      <name val="Arial"/>
      <family val="2"/>
    </font>
    <font>
      <b/>
      <i/>
      <sz val="11"/>
      <name val="Arial"/>
      <family val="2"/>
    </font>
    <font>
      <sz val="11"/>
      <color indexed="10"/>
      <name val="Arial"/>
      <family val="2"/>
    </font>
    <font>
      <b/>
      <sz val="12"/>
      <color indexed="17"/>
      <name val="Arial"/>
      <family val="2"/>
    </font>
    <font>
      <b/>
      <sz val="12"/>
      <color indexed="57"/>
      <name val="Arial"/>
      <family val="2"/>
    </font>
    <font>
      <sz val="10"/>
      <color indexed="10"/>
      <name val="Arial"/>
      <family val="2"/>
    </font>
    <font>
      <b/>
      <sz val="18"/>
      <color indexed="60"/>
      <name val="Arial"/>
      <family val="2"/>
    </font>
    <font>
      <sz val="12"/>
      <color indexed="60"/>
      <name val="Arial"/>
      <family val="2"/>
    </font>
    <font>
      <b/>
      <sz val="11"/>
      <color indexed="15"/>
      <name val="Arial"/>
      <family val="2"/>
    </font>
    <font>
      <sz val="11"/>
      <color indexed="41"/>
      <name val="Arial"/>
      <family val="2"/>
    </font>
    <font>
      <sz val="11"/>
      <color indexed="15"/>
      <name val="Arial"/>
      <family val="2"/>
    </font>
    <font>
      <b/>
      <sz val="22"/>
      <color indexed="57"/>
      <name val="Arial"/>
      <family val="2"/>
    </font>
    <font>
      <b/>
      <sz val="11"/>
      <color indexed="17"/>
      <name val="Arial"/>
      <family val="2"/>
    </font>
    <font>
      <i/>
      <sz val="11"/>
      <color indexed="12"/>
      <name val="Arial"/>
      <family val="2"/>
    </font>
    <font>
      <b/>
      <sz val="12"/>
      <color indexed="58"/>
      <name val="Arial"/>
      <family val="2"/>
    </font>
    <font>
      <b/>
      <sz val="14"/>
      <name val="Arial"/>
      <family val="2"/>
    </font>
    <font>
      <sz val="12"/>
      <color indexed="22"/>
      <name val="Courier"/>
      <family val="3"/>
    </font>
    <font>
      <b/>
      <sz val="18"/>
      <color indexed="12"/>
      <name val="Arial"/>
      <family val="2"/>
    </font>
    <font>
      <sz val="18"/>
      <color indexed="12"/>
      <name val="Arial"/>
      <family val="2"/>
    </font>
    <font>
      <b/>
      <sz val="16"/>
      <color indexed="16"/>
      <name val="Arial"/>
      <family val="2"/>
    </font>
    <font>
      <sz val="16"/>
      <color indexed="16"/>
      <name val="Arial"/>
      <family val="2"/>
    </font>
    <font>
      <sz val="11"/>
      <color indexed="17"/>
      <name val="Arial"/>
      <family val="2"/>
    </font>
    <font>
      <sz val="8"/>
      <name val="Arial"/>
      <family val="2"/>
    </font>
    <font>
      <b/>
      <u/>
      <sz val="16"/>
      <name val="Arial"/>
      <family val="2"/>
    </font>
    <font>
      <b/>
      <sz val="10"/>
      <color indexed="16"/>
      <name val="Arial"/>
      <family val="2"/>
    </font>
    <font>
      <b/>
      <u/>
      <sz val="18"/>
      <name val="Arial"/>
      <family val="2"/>
    </font>
    <font>
      <b/>
      <i/>
      <sz val="10"/>
      <color indexed="8"/>
      <name val="Arial"/>
      <family val="2"/>
    </font>
    <font>
      <sz val="9"/>
      <color indexed="8"/>
      <name val="Arial"/>
      <family val="2"/>
    </font>
    <font>
      <u/>
      <sz val="12"/>
      <name val="Arial"/>
      <family val="2"/>
    </font>
    <font>
      <b/>
      <u/>
      <sz val="14"/>
      <name val="Arial"/>
      <family val="2"/>
    </font>
    <font>
      <sz val="14"/>
      <color indexed="12"/>
      <name val="Arial"/>
      <family val="2"/>
    </font>
    <font>
      <sz val="18"/>
      <name val="Arial"/>
      <family val="2"/>
    </font>
    <font>
      <sz val="10"/>
      <color indexed="41"/>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b/>
      <sz val="14"/>
      <color indexed="58"/>
      <name val="Arial"/>
      <family val="2"/>
    </font>
    <font>
      <b/>
      <i/>
      <sz val="14"/>
      <color indexed="10"/>
      <name val="Arial"/>
      <family val="2"/>
    </font>
    <font>
      <b/>
      <i/>
      <sz val="14"/>
      <name val="Arial"/>
      <family val="2"/>
    </font>
    <font>
      <b/>
      <sz val="14"/>
      <color indexed="10"/>
      <name val="Arial"/>
      <family val="2"/>
    </font>
    <font>
      <sz val="12"/>
      <color indexed="10"/>
      <name val="Tahoma"/>
      <family val="2"/>
    </font>
    <font>
      <sz val="10"/>
      <color indexed="10"/>
      <name val="Tahoma"/>
      <family val="2"/>
    </font>
    <font>
      <sz val="14"/>
      <color indexed="10"/>
      <name val="Courier"/>
      <family val="3"/>
    </font>
    <font>
      <sz val="8"/>
      <color indexed="10"/>
      <name val="Tahoma"/>
      <family val="2"/>
    </font>
    <font>
      <sz val="10"/>
      <name val="Courier"/>
      <family val="3"/>
    </font>
    <font>
      <b/>
      <sz val="11"/>
      <color indexed="53"/>
      <name val="Arial"/>
      <family val="2"/>
    </font>
    <font>
      <b/>
      <sz val="12"/>
      <name val="Courier"/>
      <family val="3"/>
    </font>
    <font>
      <b/>
      <sz val="10"/>
      <color indexed="10"/>
      <name val="Tahoma"/>
      <family val="2"/>
    </font>
    <font>
      <b/>
      <sz val="12"/>
      <color indexed="10"/>
      <name val="Tahoma"/>
      <family val="2"/>
    </font>
    <font>
      <u/>
      <sz val="12"/>
      <color rgb="FFFF0000"/>
      <name val="Arial"/>
      <family val="2"/>
    </font>
    <font>
      <b/>
      <sz val="10"/>
      <name val="Courier"/>
      <family val="3"/>
    </font>
    <font>
      <b/>
      <i/>
      <sz val="10"/>
      <color rgb="FFFF0000"/>
      <name val="Arial"/>
      <family val="2"/>
    </font>
    <font>
      <b/>
      <u/>
      <sz val="10"/>
      <name val="Arial"/>
      <family val="2"/>
    </font>
    <font>
      <sz val="12"/>
      <name val="Courier"/>
      <family val="3"/>
    </font>
    <font>
      <u/>
      <sz val="10"/>
      <name val="Arial"/>
      <family val="2"/>
    </font>
    <font>
      <b/>
      <sz val="11"/>
      <color rgb="FF1F497D"/>
      <name val="Arial"/>
      <family val="2"/>
    </font>
    <font>
      <sz val="10"/>
      <name val="Courier"/>
      <family val="3"/>
    </font>
    <font>
      <sz val="11"/>
      <color rgb="FF1F497D"/>
      <name val="Arial"/>
      <family val="2"/>
    </font>
  </fonts>
  <fills count="14">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lightTrellis"/>
    </fill>
    <fill>
      <patternFill patternType="solid">
        <fgColor indexed="13"/>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41"/>
        <bgColor indexed="64"/>
      </patternFill>
    </fill>
    <fill>
      <patternFill patternType="solid">
        <fgColor indexed="52"/>
        <bgColor indexed="64"/>
      </patternFill>
    </fill>
    <fill>
      <patternFill patternType="solid">
        <fgColor theme="0" tint="-4.9989318521683403E-2"/>
        <bgColor indexed="64"/>
      </patternFill>
    </fill>
  </fills>
  <borders count="229">
    <border>
      <left/>
      <right/>
      <top/>
      <bottom/>
      <diagonal/>
    </border>
    <border>
      <left/>
      <right/>
      <top style="thin">
        <color indexed="64"/>
      </top>
      <bottom style="double">
        <color indexed="64"/>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diagonal/>
    </border>
    <border>
      <left/>
      <right/>
      <top/>
      <bottom style="thin">
        <color indexed="64"/>
      </bottom>
      <diagonal/>
    </border>
    <border>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style="medium">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top style="dashed">
        <color indexed="64"/>
      </top>
      <bottom/>
      <diagonal/>
    </border>
    <border>
      <left style="double">
        <color indexed="64"/>
      </left>
      <right/>
      <top/>
      <bottom style="dashed">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bottom style="thin">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medium">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medium">
        <color indexed="64"/>
      </right>
      <top style="thin">
        <color indexed="64"/>
      </top>
      <bottom style="medium">
        <color indexed="64"/>
      </bottom>
      <diagonal/>
    </border>
    <border>
      <left style="thin">
        <color indexed="8"/>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double">
        <color indexed="64"/>
      </bottom>
      <diagonal/>
    </border>
    <border>
      <left/>
      <right/>
      <top style="thin">
        <color indexed="64"/>
      </top>
      <bottom style="medium">
        <color indexed="64"/>
      </bottom>
      <diagonal/>
    </border>
    <border>
      <left style="double">
        <color indexed="64"/>
      </left>
      <right/>
      <top style="medium">
        <color indexed="64"/>
      </top>
      <bottom style="medium">
        <color indexed="64"/>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style="thin">
        <color indexed="64"/>
      </left>
      <right style="thin">
        <color indexed="64"/>
      </right>
      <top style="double">
        <color indexed="64"/>
      </top>
      <bottom/>
      <diagonal/>
    </border>
    <border>
      <left style="thin">
        <color indexed="64"/>
      </left>
      <right/>
      <top/>
      <bottom style="dashed">
        <color indexed="64"/>
      </bottom>
      <diagonal/>
    </border>
    <border>
      <left/>
      <right style="double">
        <color indexed="64"/>
      </right>
      <top/>
      <bottom style="dashed">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7">
    <xf numFmtId="0" fontId="0" fillId="0" borderId="0"/>
    <xf numFmtId="166" fontId="1" fillId="0" borderId="0" applyFont="0" applyFill="0" applyBorder="0" applyAlignment="0" applyProtection="0"/>
    <xf numFmtId="171"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9" fontId="2" fillId="0" borderId="0">
      <protection locked="0"/>
    </xf>
    <xf numFmtId="170" fontId="3" fillId="0" borderId="0">
      <protection locked="0"/>
    </xf>
    <xf numFmtId="170" fontId="3" fillId="0" borderId="0">
      <protection locked="0"/>
    </xf>
    <xf numFmtId="0" fontId="24" fillId="0" borderId="0"/>
    <xf numFmtId="0" fontId="13" fillId="0" borderId="0"/>
    <xf numFmtId="9" fontId="1" fillId="0" borderId="0" applyFont="0" applyFill="0" applyBorder="0" applyAlignment="0" applyProtection="0"/>
    <xf numFmtId="170" fontId="2" fillId="0" borderId="1">
      <protection locked="0"/>
    </xf>
  </cellStyleXfs>
  <cellXfs count="1874">
    <xf numFmtId="0" fontId="0" fillId="0" borderId="0" xfId="0"/>
    <xf numFmtId="0" fontId="5" fillId="0" borderId="0" xfId="0" applyFont="1" applyFill="1" applyBorder="1" applyProtection="1"/>
    <xf numFmtId="0" fontId="0" fillId="0" borderId="0" xfId="0" applyBorder="1"/>
    <xf numFmtId="0" fontId="16" fillId="0" borderId="0" xfId="0" applyFont="1"/>
    <xf numFmtId="0" fontId="16" fillId="0" borderId="0" xfId="0" applyFont="1" applyBorder="1" applyAlignment="1" applyProtection="1">
      <alignment horizontal="left" vertical="center"/>
    </xf>
    <xf numFmtId="0" fontId="16"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9" fontId="6" fillId="0" borderId="2" xfId="0" applyNumberFormat="1" applyFont="1" applyFill="1" applyBorder="1" applyAlignment="1" applyProtection="1">
      <alignment vertical="center" wrapText="1"/>
    </xf>
    <xf numFmtId="0" fontId="0" fillId="0" borderId="0" xfId="0" applyAlignment="1">
      <alignment horizontal="left" vertical="center"/>
    </xf>
    <xf numFmtId="0" fontId="4" fillId="0" borderId="0"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173" fontId="5" fillId="0" borderId="4"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Fill="1" applyBorder="1" applyAlignment="1" applyProtection="1">
      <alignment horizontal="right" vertical="center"/>
    </xf>
    <xf numFmtId="173" fontId="4" fillId="0" borderId="0" xfId="0" applyNumberFormat="1" applyFont="1" applyFill="1" applyBorder="1" applyAlignment="1" applyProtection="1">
      <alignment vertical="center"/>
    </xf>
    <xf numFmtId="0" fontId="30" fillId="0" borderId="6" xfId="0" applyFont="1" applyBorder="1" applyAlignment="1" applyProtection="1">
      <alignment vertical="center"/>
    </xf>
    <xf numFmtId="0" fontId="0" fillId="0" borderId="0" xfId="0" applyBorder="1" applyAlignment="1">
      <alignment vertical="center"/>
    </xf>
    <xf numFmtId="0" fontId="6" fillId="0" borderId="6" xfId="0" applyFont="1" applyFill="1" applyBorder="1" applyAlignment="1" applyProtection="1">
      <alignment vertical="center"/>
    </xf>
    <xf numFmtId="0" fontId="14" fillId="0" borderId="0" xfId="0" applyFont="1" applyBorder="1" applyAlignment="1" applyProtection="1">
      <alignment vertical="center"/>
    </xf>
    <xf numFmtId="0" fontId="17" fillId="0" borderId="2" xfId="0" applyFont="1" applyBorder="1" applyAlignment="1" applyProtection="1">
      <alignment vertical="center"/>
    </xf>
    <xf numFmtId="0" fontId="16" fillId="0" borderId="6" xfId="0" applyFont="1" applyBorder="1" applyAlignment="1" applyProtection="1">
      <alignment vertical="center"/>
    </xf>
    <xf numFmtId="0" fontId="14" fillId="0" borderId="6" xfId="0" applyFont="1" applyBorder="1" applyAlignment="1" applyProtection="1">
      <alignment vertical="center"/>
    </xf>
    <xf numFmtId="0" fontId="50"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0" fontId="4" fillId="0" borderId="0" xfId="15" applyNumberFormat="1" applyFont="1" applyFill="1" applyBorder="1" applyAlignment="1" applyProtection="1">
      <alignment vertical="center"/>
    </xf>
    <xf numFmtId="173" fontId="4" fillId="0" borderId="0" xfId="0" applyNumberFormat="1" applyFont="1" applyFill="1" applyBorder="1" applyAlignment="1" applyProtection="1">
      <alignment horizontal="center" vertical="center"/>
    </xf>
    <xf numFmtId="175"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3" fontId="4" fillId="0" borderId="0" xfId="0" applyNumberFormat="1" applyFont="1" applyBorder="1" applyAlignment="1" applyProtection="1">
      <alignment vertical="center"/>
    </xf>
    <xf numFmtId="173" fontId="39" fillId="0" borderId="0" xfId="0" applyNumberFormat="1" applyFont="1" applyFill="1" applyBorder="1" applyAlignment="1" applyProtection="1">
      <alignment vertical="center"/>
    </xf>
    <xf numFmtId="175"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3" fontId="39"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7" xfId="0" applyNumberFormat="1" applyFont="1" applyFill="1" applyBorder="1" applyAlignment="1" applyProtection="1">
      <alignment vertical="center"/>
    </xf>
    <xf numFmtId="0" fontId="4" fillId="0" borderId="6" xfId="0" applyFont="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3" fontId="4" fillId="0" borderId="6" xfId="0" applyNumberFormat="1" applyFont="1" applyBorder="1" applyAlignment="1" applyProtection="1">
      <alignment vertical="center"/>
    </xf>
    <xf numFmtId="173" fontId="4" fillId="0" borderId="6" xfId="0" applyNumberFormat="1" applyFont="1" applyFill="1" applyBorder="1" applyAlignment="1" applyProtection="1">
      <alignment vertical="center"/>
    </xf>
    <xf numFmtId="175" fontId="4" fillId="0" borderId="6" xfId="15" applyNumberFormat="1" applyFont="1" applyFill="1" applyBorder="1" applyAlignment="1" applyProtection="1">
      <alignment vertical="center"/>
    </xf>
    <xf numFmtId="173" fontId="4" fillId="0" borderId="6" xfId="0" applyNumberFormat="1" applyFont="1" applyFill="1" applyBorder="1" applyAlignment="1" applyProtection="1">
      <alignment horizontal="center" vertical="center"/>
    </xf>
    <xf numFmtId="173" fontId="4" fillId="0" borderId="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173" fontId="5" fillId="0" borderId="0" xfId="1" applyNumberFormat="1" applyFont="1" applyFill="1" applyBorder="1" applyAlignment="1" applyProtection="1">
      <alignment vertical="center"/>
    </xf>
    <xf numFmtId="2" fontId="5" fillId="0" borderId="0" xfId="15" applyNumberFormat="1" applyFont="1" applyFill="1" applyBorder="1" applyAlignment="1" applyProtection="1">
      <alignment vertical="center"/>
    </xf>
    <xf numFmtId="9" fontId="5" fillId="0" borderId="7" xfId="0" applyNumberFormat="1" applyFont="1" applyFill="1" applyBorder="1" applyAlignment="1" applyProtection="1">
      <alignment vertical="center"/>
    </xf>
    <xf numFmtId="0" fontId="7" fillId="0" borderId="6" xfId="0" applyFont="1" applyBorder="1" applyAlignment="1" applyProtection="1">
      <alignment vertical="center"/>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5" applyFont="1" applyFill="1" applyBorder="1" applyAlignment="1" applyProtection="1">
      <alignment vertical="center"/>
    </xf>
    <xf numFmtId="173" fontId="5" fillId="0" borderId="6" xfId="0" applyNumberFormat="1" applyFont="1" applyFill="1" applyBorder="1" applyAlignment="1" applyProtection="1">
      <alignment vertical="center"/>
    </xf>
    <xf numFmtId="173" fontId="5" fillId="0" borderId="6" xfId="0" applyNumberFormat="1" applyFont="1" applyFill="1" applyBorder="1" applyAlignment="1" applyProtection="1">
      <alignment horizontal="center" vertical="center"/>
    </xf>
    <xf numFmtId="173" fontId="4" fillId="0" borderId="12" xfId="0" applyNumberFormat="1" applyFont="1" applyFill="1" applyBorder="1" applyAlignment="1" applyProtection="1">
      <alignment vertical="center"/>
    </xf>
    <xf numFmtId="173" fontId="5" fillId="0" borderId="4" xfId="0" applyNumberFormat="1" applyFont="1" applyFill="1" applyBorder="1" applyAlignment="1" applyProtection="1">
      <alignment horizontal="center" vertical="center"/>
    </xf>
    <xf numFmtId="173" fontId="4" fillId="0" borderId="4" xfId="0" applyNumberFormat="1" applyFont="1" applyFill="1" applyBorder="1" applyAlignment="1" applyProtection="1">
      <alignment horizontal="left" vertical="center"/>
    </xf>
    <xf numFmtId="0" fontId="5" fillId="0" borderId="10" xfId="0" applyFont="1" applyFill="1" applyBorder="1" applyAlignment="1" applyProtection="1">
      <alignment vertical="center"/>
    </xf>
    <xf numFmtId="0" fontId="50" fillId="0" borderId="2" xfId="0" applyFont="1" applyFill="1" applyBorder="1" applyAlignment="1" applyProtection="1">
      <alignment vertical="center"/>
    </xf>
    <xf numFmtId="172" fontId="5" fillId="0" borderId="0" xfId="0" applyNumberFormat="1" applyFont="1" applyFill="1" applyBorder="1" applyAlignment="1" applyProtection="1">
      <alignment vertical="center"/>
    </xf>
    <xf numFmtId="173" fontId="4" fillId="0" borderId="0" xfId="15"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0" fontId="4" fillId="0" borderId="4" xfId="0" applyFont="1" applyBorder="1" applyAlignment="1" applyProtection="1">
      <alignment vertical="center"/>
    </xf>
    <xf numFmtId="9" fontId="5" fillId="0" borderId="4" xfId="15" applyFont="1" applyFill="1" applyBorder="1" applyAlignment="1" applyProtection="1">
      <alignment vertical="center"/>
    </xf>
    <xf numFmtId="173" fontId="4" fillId="0" borderId="4" xfId="0" applyNumberFormat="1"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8" fontId="5" fillId="0" borderId="0" xfId="0" applyNumberFormat="1" applyFont="1" applyFill="1" applyBorder="1" applyAlignment="1" applyProtection="1">
      <alignment horizontal="center" vertical="center"/>
    </xf>
    <xf numFmtId="167"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167" fontId="5" fillId="0" borderId="0" xfId="0" applyNumberFormat="1"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0" fontId="49" fillId="0" borderId="0" xfId="0" applyFont="1" applyFill="1" applyBorder="1" applyAlignment="1" applyProtection="1">
      <alignment vertical="center"/>
    </xf>
    <xf numFmtId="168" fontId="5" fillId="0" borderId="10"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8" fontId="5" fillId="0" borderId="0" xfId="0" applyNumberFormat="1" applyFont="1" applyFill="1" applyBorder="1" applyAlignment="1" applyProtection="1">
      <alignment horizontal="left" vertical="center"/>
    </xf>
    <xf numFmtId="0" fontId="4" fillId="0" borderId="13" xfId="0" applyFont="1" applyBorder="1" applyAlignment="1" applyProtection="1">
      <alignment vertical="center"/>
    </xf>
    <xf numFmtId="0" fontId="5" fillId="0" borderId="1" xfId="0" applyFont="1" applyFill="1" applyBorder="1" applyAlignment="1" applyProtection="1">
      <alignment vertical="center"/>
    </xf>
    <xf numFmtId="0" fontId="4" fillId="0" borderId="8" xfId="0" applyFont="1" applyBorder="1" applyAlignment="1" applyProtection="1">
      <alignment vertical="center"/>
    </xf>
    <xf numFmtId="0" fontId="4" fillId="0" borderId="14" xfId="0" applyFont="1" applyBorder="1" applyAlignment="1" applyProtection="1">
      <alignment vertical="center"/>
    </xf>
    <xf numFmtId="49" fontId="4" fillId="0" borderId="0" xfId="0" applyNumberFormat="1" applyFont="1" applyBorder="1" applyAlignment="1" applyProtection="1">
      <alignment vertical="center"/>
    </xf>
    <xf numFmtId="0" fontId="4" fillId="0" borderId="7" xfId="0" applyFont="1" applyBorder="1" applyAlignment="1" applyProtection="1">
      <alignment vertical="center"/>
    </xf>
    <xf numFmtId="0" fontId="4" fillId="0" borderId="2" xfId="0" applyFont="1" applyBorder="1" applyAlignment="1" applyProtection="1">
      <alignment horizontal="center" vertical="center"/>
    </xf>
    <xf numFmtId="1" fontId="30" fillId="0" borderId="0" xfId="0" applyNumberFormat="1" applyFont="1" applyBorder="1" applyAlignment="1" applyProtection="1">
      <alignment horizontal="center" vertical="center"/>
    </xf>
    <xf numFmtId="0" fontId="30" fillId="0" borderId="0" xfId="0" applyFont="1" applyBorder="1" applyAlignment="1" applyProtection="1">
      <alignment vertical="center"/>
    </xf>
    <xf numFmtId="0" fontId="30" fillId="0" borderId="8" xfId="0" applyFont="1" applyBorder="1" applyAlignment="1" applyProtection="1">
      <alignment vertical="center"/>
    </xf>
    <xf numFmtId="0" fontId="7" fillId="0" borderId="7" xfId="0" applyFont="1" applyBorder="1" applyAlignment="1" applyProtection="1">
      <alignment vertical="center"/>
    </xf>
    <xf numFmtId="0" fontId="40" fillId="0" borderId="6" xfId="0" applyFont="1" applyBorder="1" applyAlignment="1" applyProtection="1">
      <alignment vertical="center"/>
    </xf>
    <xf numFmtId="1" fontId="30" fillId="0" borderId="6" xfId="0" applyNumberFormat="1" applyFont="1" applyBorder="1" applyAlignment="1" applyProtection="1">
      <alignment horizontal="left" vertical="center"/>
    </xf>
    <xf numFmtId="0" fontId="7" fillId="0" borderId="6" xfId="0" applyFont="1" applyFill="1" applyBorder="1" applyAlignment="1" applyProtection="1">
      <alignment horizontal="left" vertical="center"/>
    </xf>
    <xf numFmtId="0" fontId="30" fillId="0" borderId="6" xfId="0" applyFont="1" applyBorder="1" applyAlignment="1" applyProtection="1">
      <alignment horizontal="left" vertical="center"/>
    </xf>
    <xf numFmtId="9" fontId="46" fillId="0" borderId="2" xfId="0" applyNumberFormat="1" applyFont="1" applyFill="1" applyBorder="1" applyAlignment="1" applyProtection="1">
      <alignment vertical="center"/>
    </xf>
    <xf numFmtId="173" fontId="4" fillId="0" borderId="0" xfId="0" applyNumberFormat="1" applyFont="1" applyBorder="1" applyAlignment="1" applyProtection="1">
      <alignment horizontal="center" vertical="center"/>
    </xf>
    <xf numFmtId="0" fontId="46" fillId="0" borderId="2"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14" fillId="0" borderId="0" xfId="0" applyFont="1" applyBorder="1" applyAlignment="1">
      <alignment vertical="center"/>
    </xf>
    <xf numFmtId="0" fontId="51" fillId="0" borderId="0" xfId="0" applyFont="1" applyAlignment="1">
      <alignment vertical="center"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14" fillId="0" borderId="8" xfId="0" applyFont="1" applyBorder="1" applyAlignment="1">
      <alignment vertical="center"/>
    </xf>
    <xf numFmtId="0" fontId="39" fillId="0" borderId="0" xfId="0" applyFont="1" applyBorder="1" applyAlignment="1" applyProtection="1">
      <alignment vertical="center"/>
    </xf>
    <xf numFmtId="2" fontId="4" fillId="0" borderId="0" xfId="0" applyNumberFormat="1" applyFont="1" applyFill="1" applyBorder="1" applyAlignment="1" applyProtection="1">
      <alignment horizontal="center" vertical="center"/>
    </xf>
    <xf numFmtId="2" fontId="5" fillId="0" borderId="4"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173" fontId="6" fillId="0" borderId="0" xfId="0"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4" fillId="0" borderId="6" xfId="0" applyFont="1" applyBorder="1" applyAlignment="1">
      <alignment vertical="center"/>
    </xf>
    <xf numFmtId="0" fontId="16" fillId="2" borderId="11" xfId="0" applyFont="1" applyFill="1" applyBorder="1" applyAlignment="1" applyProtection="1">
      <alignment vertical="center"/>
    </xf>
    <xf numFmtId="0" fontId="16" fillId="2" borderId="6" xfId="0" applyFont="1" applyFill="1" applyBorder="1" applyAlignment="1" applyProtection="1">
      <alignment vertical="center"/>
    </xf>
    <xf numFmtId="0" fontId="25" fillId="0" borderId="0" xfId="0" applyFont="1" applyBorder="1" applyAlignment="1" applyProtection="1">
      <alignment vertical="center"/>
    </xf>
    <xf numFmtId="0" fontId="6" fillId="0" borderId="0" xfId="0" applyFont="1" applyFill="1" applyBorder="1" applyAlignment="1" applyProtection="1">
      <alignment horizontal="right" vertical="center"/>
    </xf>
    <xf numFmtId="0" fontId="48" fillId="0" borderId="0" xfId="0" applyFont="1" applyBorder="1" applyAlignment="1" applyProtection="1">
      <alignment vertical="center"/>
    </xf>
    <xf numFmtId="9" fontId="50" fillId="0" borderId="2" xfId="0" applyNumberFormat="1" applyFont="1" applyFill="1" applyBorder="1" applyAlignment="1" applyProtection="1">
      <alignment vertical="center"/>
    </xf>
    <xf numFmtId="0" fontId="14" fillId="0" borderId="0" xfId="0" applyFont="1"/>
    <xf numFmtId="49" fontId="14" fillId="0" borderId="0" xfId="0" applyNumberFormat="1" applyFont="1"/>
    <xf numFmtId="0" fontId="19" fillId="0" borderId="0" xfId="0" applyFont="1" applyFill="1" applyBorder="1" applyAlignment="1" applyProtection="1">
      <alignment horizontal="center" vertical="center"/>
    </xf>
    <xf numFmtId="0" fontId="19" fillId="0" borderId="0" xfId="0" applyFont="1" applyBorder="1" applyAlignment="1" applyProtection="1">
      <alignment vertical="center"/>
    </xf>
    <xf numFmtId="9" fontId="19" fillId="0" borderId="0" xfId="15" applyFont="1" applyFill="1" applyBorder="1" applyAlignment="1" applyProtection="1">
      <alignment vertical="center"/>
    </xf>
    <xf numFmtId="0" fontId="19" fillId="0" borderId="0" xfId="0" applyFont="1" applyFill="1" applyBorder="1" applyAlignment="1" applyProtection="1">
      <alignment vertical="center"/>
    </xf>
    <xf numFmtId="173" fontId="19" fillId="0" borderId="0" xfId="0" applyNumberFormat="1" applyFont="1" applyBorder="1" applyAlignment="1" applyProtection="1">
      <alignment vertical="center"/>
    </xf>
    <xf numFmtId="173" fontId="19" fillId="0" borderId="0" xfId="0" applyNumberFormat="1" applyFont="1" applyFill="1" applyBorder="1" applyAlignment="1" applyProtection="1">
      <alignment horizontal="center" vertical="center"/>
    </xf>
    <xf numFmtId="173" fontId="19" fillId="0" borderId="0" xfId="0" applyNumberFormat="1" applyFont="1" applyFill="1" applyBorder="1" applyAlignment="1" applyProtection="1">
      <alignment vertical="center"/>
    </xf>
    <xf numFmtId="168" fontId="6"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173" fontId="14" fillId="0" borderId="8" xfId="0" applyNumberFormat="1" applyFont="1" applyBorder="1" applyAlignment="1">
      <alignment vertical="center"/>
    </xf>
    <xf numFmtId="0" fontId="14" fillId="0" borderId="0" xfId="0" applyFont="1" applyBorder="1" applyAlignment="1">
      <alignment horizontal="center" vertical="center"/>
    </xf>
    <xf numFmtId="0" fontId="14" fillId="0" borderId="9" xfId="0" applyFont="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49" fontId="39" fillId="0" borderId="0" xfId="0" applyNumberFormat="1" applyFont="1" applyBorder="1" applyAlignment="1" applyProtection="1">
      <alignment horizontal="center" vertical="center"/>
    </xf>
    <xf numFmtId="0" fontId="25" fillId="3" borderId="15" xfId="0" applyFont="1" applyFill="1" applyBorder="1" applyAlignment="1" applyProtection="1">
      <alignment horizontal="center" vertical="center"/>
      <protection locked="0"/>
    </xf>
    <xf numFmtId="9" fontId="4" fillId="0" borderId="4" xfId="0" applyNumberFormat="1" applyFont="1" applyFill="1" applyBorder="1" applyAlignment="1" applyProtection="1">
      <alignment vertical="center"/>
    </xf>
    <xf numFmtId="0" fontId="4" fillId="0" borderId="4" xfId="0" applyFont="1" applyFill="1" applyBorder="1" applyAlignment="1" applyProtection="1">
      <alignment horizontal="left" vertical="center"/>
    </xf>
    <xf numFmtId="173" fontId="5" fillId="0" borderId="4" xfId="0" applyNumberFormat="1" applyFont="1" applyFill="1" applyBorder="1" applyAlignment="1" applyProtection="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6" fillId="0" borderId="2"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3" borderId="19" xfId="0" applyNumberFormat="1" applyFont="1" applyFill="1" applyBorder="1" applyAlignment="1" applyProtection="1">
      <alignment vertical="center"/>
      <protection locked="0"/>
    </xf>
    <xf numFmtId="0" fontId="17" fillId="0" borderId="0" xfId="0" applyFont="1" applyBorder="1" applyAlignment="1">
      <alignment horizontal="right" vertical="center"/>
    </xf>
    <xf numFmtId="0" fontId="16" fillId="3" borderId="19" xfId="0" applyFont="1" applyFill="1" applyBorder="1" applyAlignment="1" applyProtection="1">
      <alignment vertical="center"/>
      <protection locked="0"/>
    </xf>
    <xf numFmtId="0" fontId="16" fillId="0" borderId="7" xfId="0" applyFont="1" applyBorder="1" applyAlignment="1">
      <alignment vertical="center"/>
    </xf>
    <xf numFmtId="0" fontId="16" fillId="0" borderId="6" xfId="0" applyFont="1" applyBorder="1" applyAlignment="1">
      <alignment vertical="center"/>
    </xf>
    <xf numFmtId="0" fontId="16" fillId="0" borderId="14" xfId="0" applyFont="1" applyBorder="1" applyAlignment="1">
      <alignment vertical="center"/>
    </xf>
    <xf numFmtId="0" fontId="17" fillId="0" borderId="20" xfId="0" applyFont="1" applyBorder="1" applyAlignment="1">
      <alignment vertical="center"/>
    </xf>
    <xf numFmtId="0" fontId="16" fillId="0" borderId="21" xfId="0" applyFont="1" applyBorder="1" applyAlignment="1">
      <alignment vertical="center"/>
    </xf>
    <xf numFmtId="14" fontId="20" fillId="3" borderId="22" xfId="0" applyNumberFormat="1" applyFont="1" applyFill="1" applyBorder="1" applyAlignment="1" applyProtection="1">
      <alignment vertical="center"/>
      <protection locked="0"/>
    </xf>
    <xf numFmtId="0" fontId="20" fillId="3" borderId="23" xfId="0" applyFont="1" applyFill="1" applyBorder="1" applyAlignment="1" applyProtection="1">
      <alignment vertical="center"/>
      <protection locked="0"/>
    </xf>
    <xf numFmtId="0" fontId="20" fillId="3" borderId="24" xfId="0" applyFont="1" applyFill="1" applyBorder="1" applyAlignment="1" applyProtection="1">
      <alignment vertical="center"/>
      <protection locked="0"/>
    </xf>
    <xf numFmtId="14" fontId="20" fillId="3" borderId="25"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17" fillId="0" borderId="31" xfId="0" applyFont="1" applyBorder="1" applyAlignment="1">
      <alignment horizontal="right" vertical="center"/>
    </xf>
    <xf numFmtId="0" fontId="17" fillId="0" borderId="32" xfId="0" applyFont="1" applyBorder="1" applyAlignment="1">
      <alignment horizontal="right" vertical="center"/>
    </xf>
    <xf numFmtId="0" fontId="17" fillId="0" borderId="33" xfId="0" applyFont="1" applyBorder="1" applyAlignment="1">
      <alignment horizontal="right" vertical="center"/>
    </xf>
    <xf numFmtId="0" fontId="17" fillId="0" borderId="13" xfId="0" applyFont="1" applyBorder="1" applyAlignment="1">
      <alignment horizontal="right" vertical="center"/>
    </xf>
    <xf numFmtId="0" fontId="14" fillId="0" borderId="7" xfId="0" applyFont="1" applyBorder="1" applyAlignment="1">
      <alignment vertical="center"/>
    </xf>
    <xf numFmtId="0" fontId="14" fillId="0" borderId="14" xfId="0" applyFont="1" applyBorder="1" applyAlignment="1">
      <alignment vertical="center"/>
    </xf>
    <xf numFmtId="0" fontId="17" fillId="0" borderId="6" xfId="0" applyFont="1" applyBorder="1" applyAlignment="1">
      <alignment horizontal="right" vertical="center"/>
    </xf>
    <xf numFmtId="0" fontId="66" fillId="0" borderId="9" xfId="0" applyFont="1" applyBorder="1" applyAlignment="1">
      <alignment horizontal="left" vertical="center"/>
    </xf>
    <xf numFmtId="0" fontId="18" fillId="0" borderId="10" xfId="0" applyFont="1" applyBorder="1" applyAlignment="1">
      <alignment horizontal="center" vertical="center"/>
    </xf>
    <xf numFmtId="0" fontId="68" fillId="0" borderId="10" xfId="0" applyFont="1" applyBorder="1" applyAlignment="1" applyProtection="1">
      <alignment horizontal="left" vertical="center"/>
    </xf>
    <xf numFmtId="0" fontId="18" fillId="0" borderId="11" xfId="0" applyFont="1" applyBorder="1" applyAlignment="1">
      <alignment horizontal="center" vertical="center"/>
    </xf>
    <xf numFmtId="1" fontId="51" fillId="0" borderId="0" xfId="0" applyNumberFormat="1" applyFont="1" applyBorder="1" applyAlignment="1">
      <alignment horizontal="right" vertical="center"/>
    </xf>
    <xf numFmtId="1" fontId="14" fillId="0" borderId="0" xfId="0" applyNumberFormat="1" applyFont="1" applyBorder="1" applyAlignment="1">
      <alignment horizontal="left" vertical="center"/>
    </xf>
    <xf numFmtId="0" fontId="18" fillId="0" borderId="2" xfId="0" applyFont="1" applyBorder="1" applyAlignment="1">
      <alignment vertical="center"/>
    </xf>
    <xf numFmtId="0" fontId="18" fillId="0" borderId="0" xfId="0" applyFont="1" applyBorder="1" applyAlignment="1">
      <alignment vertical="center"/>
    </xf>
    <xf numFmtId="0" fontId="14" fillId="0" borderId="0" xfId="0" applyFont="1" applyFill="1" applyBorder="1" applyAlignment="1">
      <alignment vertical="center"/>
    </xf>
    <xf numFmtId="49" fontId="14" fillId="0" borderId="8" xfId="0" applyNumberFormat="1" applyFont="1" applyBorder="1" applyAlignment="1" applyProtection="1">
      <alignment vertical="center"/>
      <protection locked="0"/>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28" xfId="0" applyNumberFormat="1" applyFont="1" applyFill="1" applyBorder="1" applyAlignment="1" applyProtection="1">
      <alignment horizontal="center" vertical="center"/>
    </xf>
    <xf numFmtId="49" fontId="7" fillId="0" borderId="36" xfId="0" applyNumberFormat="1" applyFont="1" applyFill="1" applyBorder="1" applyAlignment="1" applyProtection="1">
      <alignment horizontal="center" vertical="center" wrapText="1"/>
    </xf>
    <xf numFmtId="49" fontId="7" fillId="0" borderId="37"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0" fontId="14" fillId="0" borderId="38" xfId="0" applyFont="1" applyBorder="1" applyAlignment="1" applyProtection="1">
      <alignment vertical="center"/>
    </xf>
    <xf numFmtId="49" fontId="7" fillId="0" borderId="34" xfId="0" applyNumberFormat="1" applyFont="1" applyBorder="1" applyAlignment="1" applyProtection="1">
      <alignment vertical="center"/>
    </xf>
    <xf numFmtId="0" fontId="69" fillId="0" borderId="19" xfId="0" applyNumberFormat="1" applyFont="1" applyFill="1" applyBorder="1" applyAlignment="1" applyProtection="1">
      <alignment horizontal="center" vertical="center"/>
    </xf>
    <xf numFmtId="173" fontId="0" fillId="0" borderId="0" xfId="0" applyNumberFormat="1"/>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4" fillId="0" borderId="32" xfId="0" applyFont="1" applyBorder="1" applyAlignment="1">
      <alignment vertical="center"/>
    </xf>
    <xf numFmtId="0" fontId="14" fillId="0" borderId="39" xfId="0" applyFont="1" applyBorder="1" applyAlignment="1">
      <alignment vertical="center"/>
    </xf>
    <xf numFmtId="0" fontId="14" fillId="0" borderId="37" xfId="0" applyFont="1" applyBorder="1" applyAlignment="1">
      <alignment vertical="center" wrapText="1"/>
    </xf>
    <xf numFmtId="0" fontId="14" fillId="0" borderId="19" xfId="0" applyFont="1" applyBorder="1" applyAlignment="1">
      <alignment vertical="center" wrapText="1"/>
    </xf>
    <xf numFmtId="0" fontId="14" fillId="0" borderId="40" xfId="0" applyFont="1" applyBorder="1" applyAlignment="1">
      <alignment vertical="center" wrapText="1"/>
    </xf>
    <xf numFmtId="0" fontId="14" fillId="0" borderId="21" xfId="0" applyFont="1" applyBorder="1" applyAlignment="1">
      <alignment vertical="center"/>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41" xfId="0" applyFont="1" applyBorder="1" applyAlignment="1">
      <alignment horizontal="right" vertical="center"/>
    </xf>
    <xf numFmtId="0" fontId="14" fillId="0" borderId="41" xfId="0" applyFont="1" applyBorder="1" applyAlignment="1">
      <alignment vertical="center"/>
    </xf>
    <xf numFmtId="173" fontId="14" fillId="0" borderId="40" xfId="0" applyNumberFormat="1" applyFont="1" applyBorder="1" applyAlignment="1">
      <alignment vertical="center" wrapText="1"/>
    </xf>
    <xf numFmtId="0" fontId="7" fillId="0" borderId="0" xfId="0" applyFont="1" applyBorder="1" applyAlignment="1">
      <alignment horizontal="right" vertical="center"/>
    </xf>
    <xf numFmtId="0" fontId="17" fillId="0" borderId="31" xfId="0" applyFont="1" applyBorder="1" applyAlignment="1">
      <alignment vertical="center"/>
    </xf>
    <xf numFmtId="0" fontId="14" fillId="0" borderId="42" xfId="0" applyFont="1" applyBorder="1" applyAlignment="1">
      <alignment vertical="center"/>
    </xf>
    <xf numFmtId="0" fontId="14" fillId="0" borderId="42" xfId="0" applyFont="1" applyBorder="1" applyAlignment="1">
      <alignment vertical="center" wrapText="1"/>
    </xf>
    <xf numFmtId="0" fontId="14" fillId="0" borderId="37" xfId="0" applyFont="1" applyBorder="1" applyAlignment="1">
      <alignment vertical="center"/>
    </xf>
    <xf numFmtId="0" fontId="14" fillId="0" borderId="19" xfId="0" applyFont="1" applyBorder="1" applyAlignment="1">
      <alignment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17" fillId="0" borderId="10" xfId="0" applyFont="1" applyBorder="1" applyAlignment="1">
      <alignment horizontal="right" vertical="center"/>
    </xf>
    <xf numFmtId="0" fontId="7" fillId="0" borderId="7" xfId="0" applyFont="1" applyBorder="1" applyAlignment="1">
      <alignment horizontal="right" vertical="center"/>
    </xf>
    <xf numFmtId="0" fontId="14" fillId="0" borderId="8" xfId="0" applyFont="1" applyBorder="1" applyAlignment="1">
      <alignment horizontal="center" vertical="center"/>
    </xf>
    <xf numFmtId="0" fontId="14" fillId="0" borderId="2" xfId="0" applyFont="1" applyBorder="1" applyAlignment="1">
      <alignment horizontal="right" vertical="center"/>
    </xf>
    <xf numFmtId="0" fontId="14" fillId="0" borderId="43" xfId="0" applyFont="1" applyBorder="1" applyAlignment="1">
      <alignment vertical="center"/>
    </xf>
    <xf numFmtId="0" fontId="19" fillId="3" borderId="41" xfId="0" applyFont="1" applyFill="1" applyBorder="1" applyAlignment="1" applyProtection="1">
      <alignment vertical="center"/>
      <protection locked="0"/>
    </xf>
    <xf numFmtId="0" fontId="19" fillId="3" borderId="44"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24" xfId="0" applyFont="1" applyFill="1" applyBorder="1" applyAlignment="1" applyProtection="1">
      <alignment vertical="center"/>
      <protection locked="0"/>
    </xf>
    <xf numFmtId="0" fontId="17" fillId="0" borderId="20" xfId="0" applyFont="1" applyBorder="1" applyAlignment="1">
      <alignment horizontal="left" vertical="center"/>
    </xf>
    <xf numFmtId="0" fontId="14" fillId="0" borderId="21" xfId="0" applyFont="1" applyBorder="1" applyAlignment="1">
      <alignment horizontal="left" vertical="center"/>
    </xf>
    <xf numFmtId="14" fontId="19" fillId="3" borderId="22" xfId="0" applyNumberFormat="1"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19" fillId="3" borderId="26" xfId="0" applyFont="1" applyFill="1" applyBorder="1" applyAlignment="1" applyProtection="1">
      <alignment vertical="center"/>
      <protection locked="0"/>
    </xf>
    <xf numFmtId="0" fontId="68" fillId="0" borderId="2" xfId="0" applyFont="1" applyBorder="1" applyAlignment="1" applyProtection="1">
      <alignment horizontal="left" vertical="center"/>
    </xf>
    <xf numFmtId="1" fontId="14" fillId="0" borderId="6" xfId="0" applyNumberFormat="1" applyFont="1" applyBorder="1" applyAlignment="1">
      <alignment horizontal="left" vertical="center"/>
    </xf>
    <xf numFmtId="0" fontId="14" fillId="0" borderId="45" xfId="0" applyFont="1" applyBorder="1" applyAlignment="1">
      <alignment vertical="center" wrapText="1"/>
    </xf>
    <xf numFmtId="0" fontId="19" fillId="3" borderId="46" xfId="0" applyFont="1" applyFill="1" applyBorder="1" applyAlignment="1" applyProtection="1">
      <alignment vertical="center"/>
      <protection locked="0"/>
    </xf>
    <xf numFmtId="0" fontId="19" fillId="3" borderId="47" xfId="0" applyFont="1" applyFill="1" applyBorder="1" applyAlignment="1" applyProtection="1">
      <alignment vertical="center"/>
      <protection locked="0"/>
    </xf>
    <xf numFmtId="0" fontId="14" fillId="0" borderId="21" xfId="0" applyFont="1" applyBorder="1" applyAlignment="1">
      <alignment vertical="center" wrapText="1"/>
    </xf>
    <xf numFmtId="0" fontId="19" fillId="3" borderId="32" xfId="0" applyFont="1" applyFill="1" applyBorder="1" applyAlignment="1" applyProtection="1">
      <alignment vertical="center"/>
      <protection locked="0"/>
    </xf>
    <xf numFmtId="166" fontId="19" fillId="3" borderId="24" xfId="1" applyFont="1" applyFill="1" applyBorder="1" applyAlignment="1" applyProtection="1">
      <alignment vertical="center"/>
      <protection locked="0"/>
    </xf>
    <xf numFmtId="0" fontId="5" fillId="0" borderId="45" xfId="0" applyFont="1" applyBorder="1" applyAlignment="1" applyProtection="1">
      <alignment vertical="center" wrapText="1"/>
    </xf>
    <xf numFmtId="0" fontId="5" fillId="3" borderId="47" xfId="0" applyFont="1" applyFill="1" applyBorder="1" applyAlignment="1" applyProtection="1">
      <alignment vertical="center"/>
    </xf>
    <xf numFmtId="0" fontId="5" fillId="3" borderId="44" xfId="0" applyFont="1" applyFill="1" applyBorder="1" applyAlignment="1" applyProtection="1">
      <alignment vertical="center"/>
    </xf>
    <xf numFmtId="0" fontId="22" fillId="0" borderId="9" xfId="0" applyFont="1" applyBorder="1" applyAlignment="1">
      <alignment horizontal="left" vertical="center"/>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9" fillId="0" borderId="0" xfId="0" applyFont="1" applyBorder="1" applyAlignment="1" applyProtection="1">
      <alignment vertical="center"/>
      <protection locked="0"/>
    </xf>
    <xf numFmtId="14" fontId="19" fillId="3" borderId="48" xfId="0" applyNumberFormat="1"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9" fillId="3" borderId="50" xfId="0" applyFont="1" applyFill="1" applyBorder="1" applyAlignment="1" applyProtection="1">
      <alignment vertical="center"/>
      <protection locked="0"/>
    </xf>
    <xf numFmtId="0" fontId="19" fillId="3" borderId="51"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13" xfId="0" applyFont="1" applyBorder="1" applyAlignment="1">
      <alignment vertical="center"/>
    </xf>
    <xf numFmtId="0" fontId="44" fillId="0" borderId="0" xfId="0" applyFont="1" applyBorder="1" applyAlignment="1">
      <alignment vertical="center"/>
    </xf>
    <xf numFmtId="0" fontId="17" fillId="0" borderId="33" xfId="0" applyFont="1" applyBorder="1" applyAlignment="1">
      <alignment horizontal="left" vertical="center"/>
    </xf>
    <xf numFmtId="0" fontId="19" fillId="3" borderId="52" xfId="0" applyFont="1" applyFill="1" applyBorder="1" applyProtection="1">
      <protection locked="0"/>
    </xf>
    <xf numFmtId="0" fontId="19" fillId="3" borderId="24" xfId="0" applyFont="1" applyFill="1" applyBorder="1" applyProtection="1">
      <protection locked="0"/>
    </xf>
    <xf numFmtId="14" fontId="19" fillId="3" borderId="24" xfId="0" applyNumberFormat="1" applyFont="1" applyFill="1" applyBorder="1" applyProtection="1">
      <protection locked="0"/>
    </xf>
    <xf numFmtId="15" fontId="19" fillId="3" borderId="24" xfId="0" applyNumberFormat="1" applyFont="1" applyFill="1" applyBorder="1" applyProtection="1">
      <protection locked="0"/>
    </xf>
    <xf numFmtId="0" fontId="20" fillId="3" borderId="23" xfId="0" applyFont="1" applyFill="1" applyBorder="1" applyProtection="1">
      <protection locked="0"/>
    </xf>
    <xf numFmtId="0" fontId="20" fillId="3" borderId="24" xfId="0" applyFont="1" applyFill="1" applyBorder="1" applyProtection="1">
      <protection locked="0"/>
    </xf>
    <xf numFmtId="0" fontId="19" fillId="3" borderId="46" xfId="0" applyFont="1" applyFill="1" applyBorder="1" applyProtection="1">
      <protection locked="0"/>
    </xf>
    <xf numFmtId="0" fontId="19" fillId="3" borderId="47" xfId="0" applyFont="1" applyFill="1" applyBorder="1" applyProtection="1">
      <protection locked="0"/>
    </xf>
    <xf numFmtId="0" fontId="19" fillId="3" borderId="53" xfId="0" applyFont="1" applyFill="1" applyBorder="1" applyProtection="1">
      <protection locked="0"/>
    </xf>
    <xf numFmtId="0" fontId="19" fillId="3" borderId="54" xfId="0" applyFont="1" applyFill="1" applyBorder="1" applyProtection="1">
      <protection locked="0"/>
    </xf>
    <xf numFmtId="175" fontId="4" fillId="0" borderId="0" xfId="0" applyNumberFormat="1" applyFont="1" applyBorder="1" applyAlignment="1" applyProtection="1">
      <alignment vertical="center"/>
    </xf>
    <xf numFmtId="0" fontId="25" fillId="3" borderId="55" xfId="0" applyFont="1" applyFill="1" applyBorder="1" applyAlignment="1" applyProtection="1">
      <alignment horizontal="center" vertical="center"/>
      <protection locked="0"/>
    </xf>
    <xf numFmtId="0" fontId="25" fillId="3" borderId="56" xfId="0" applyFont="1" applyFill="1" applyBorder="1" applyAlignment="1" applyProtection="1">
      <alignment horizontal="center" vertical="center"/>
      <protection locked="0"/>
    </xf>
    <xf numFmtId="0" fontId="58" fillId="4" borderId="57" xfId="0" applyFont="1" applyFill="1" applyBorder="1" applyAlignment="1" applyProtection="1">
      <alignment horizontal="center" vertical="center"/>
    </xf>
    <xf numFmtId="0" fontId="4" fillId="5" borderId="58" xfId="0" applyFont="1" applyFill="1" applyBorder="1" applyAlignment="1" applyProtection="1">
      <alignment vertical="center"/>
    </xf>
    <xf numFmtId="0" fontId="4" fillId="5" borderId="59" xfId="0" applyFont="1" applyFill="1" applyBorder="1" applyAlignment="1" applyProtection="1">
      <alignment vertical="center"/>
    </xf>
    <xf numFmtId="173" fontId="58" fillId="4" borderId="57" xfId="0" applyNumberFormat="1" applyFont="1" applyFill="1" applyBorder="1" applyAlignment="1" applyProtection="1">
      <alignment horizontal="center" vertical="center"/>
    </xf>
    <xf numFmtId="173" fontId="4" fillId="0" borderId="32" xfId="0" applyNumberFormat="1" applyFont="1" applyFill="1" applyBorder="1" applyAlignment="1" applyProtection="1">
      <alignment vertical="center"/>
    </xf>
    <xf numFmtId="173" fontId="5" fillId="0" borderId="32" xfId="0" applyNumberFormat="1" applyFont="1" applyFill="1" applyBorder="1" applyAlignment="1" applyProtection="1">
      <alignment vertical="center"/>
    </xf>
    <xf numFmtId="173" fontId="5" fillId="0" borderId="32" xfId="1" applyNumberFormat="1" applyFont="1" applyFill="1" applyBorder="1" applyAlignment="1" applyProtection="1">
      <alignment vertical="center"/>
    </xf>
    <xf numFmtId="0" fontId="4" fillId="0" borderId="12" xfId="0" applyFont="1" applyBorder="1" applyAlignment="1" applyProtection="1">
      <alignment vertical="center"/>
    </xf>
    <xf numFmtId="0" fontId="14" fillId="0" borderId="12" xfId="0" applyFont="1" applyBorder="1" applyAlignment="1">
      <alignment vertical="center"/>
    </xf>
    <xf numFmtId="0" fontId="4" fillId="0" borderId="12" xfId="0" applyFont="1" applyFill="1" applyBorder="1" applyAlignment="1" applyProtection="1">
      <alignment horizontal="center" vertical="center"/>
    </xf>
    <xf numFmtId="9" fontId="4" fillId="0" borderId="12" xfId="15" applyFont="1" applyFill="1" applyBorder="1" applyAlignment="1" applyProtection="1">
      <alignment vertical="center"/>
    </xf>
    <xf numFmtId="173" fontId="4" fillId="0" borderId="12" xfId="0" applyNumberFormat="1" applyFont="1" applyFill="1" applyBorder="1" applyAlignment="1" applyProtection="1">
      <alignment horizontal="left" vertical="center"/>
    </xf>
    <xf numFmtId="173" fontId="4" fillId="0" borderId="12" xfId="0" applyNumberFormat="1" applyFont="1" applyFill="1" applyBorder="1" applyAlignment="1" applyProtection="1">
      <alignment horizontal="center" vertical="center"/>
    </xf>
    <xf numFmtId="173" fontId="4" fillId="0" borderId="12" xfId="0" applyNumberFormat="1" applyFont="1" applyBorder="1" applyAlignment="1" applyProtection="1">
      <alignment vertical="center"/>
    </xf>
    <xf numFmtId="173" fontId="4" fillId="0" borderId="32" xfId="0" applyNumberFormat="1" applyFont="1" applyBorder="1" applyAlignment="1" applyProtection="1">
      <alignment vertical="center"/>
    </xf>
    <xf numFmtId="0" fontId="5" fillId="0" borderId="12" xfId="0" applyFont="1" applyFill="1" applyBorder="1" applyAlignment="1" applyProtection="1">
      <alignment vertical="center"/>
    </xf>
    <xf numFmtId="173" fontId="5" fillId="0" borderId="12" xfId="0" applyNumberFormat="1" applyFont="1" applyFill="1" applyBorder="1" applyAlignment="1" applyProtection="1">
      <alignment vertical="center"/>
    </xf>
    <xf numFmtId="0" fontId="41" fillId="0" borderId="60" xfId="0" applyFont="1" applyFill="1" applyBorder="1" applyAlignment="1" applyProtection="1">
      <alignment horizontal="left" vertical="center"/>
    </xf>
    <xf numFmtId="0" fontId="41" fillId="0" borderId="5" xfId="0" applyFont="1" applyFill="1" applyBorder="1" applyAlignment="1" applyProtection="1">
      <alignment horizontal="left" vertical="center"/>
    </xf>
    <xf numFmtId="0" fontId="7" fillId="0" borderId="1" xfId="0" applyFont="1" applyBorder="1" applyAlignment="1" applyProtection="1">
      <alignment horizontal="lef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0" fontId="5" fillId="0" borderId="13" xfId="0" applyFont="1" applyFill="1" applyBorder="1" applyAlignment="1" applyProtection="1">
      <alignment vertical="center"/>
    </xf>
    <xf numFmtId="0" fontId="22" fillId="0" borderId="60" xfId="0" applyFont="1" applyFill="1" applyBorder="1" applyAlignment="1" applyProtection="1">
      <alignment vertical="center"/>
    </xf>
    <xf numFmtId="175" fontId="7" fillId="6" borderId="5" xfId="0" applyNumberFormat="1" applyFont="1" applyFill="1" applyBorder="1" applyAlignment="1" applyProtection="1">
      <alignment horizontal="right" vertical="center"/>
    </xf>
    <xf numFmtId="173" fontId="7" fillId="6" borderId="5" xfId="0" applyNumberFormat="1" applyFont="1" applyFill="1" applyBorder="1" applyAlignment="1" applyProtection="1">
      <alignment horizontal="right" vertical="center"/>
    </xf>
    <xf numFmtId="175" fontId="4" fillId="6" borderId="5" xfId="0" applyNumberFormat="1" applyFont="1" applyFill="1" applyBorder="1" applyAlignment="1" applyProtection="1">
      <alignment vertical="center"/>
    </xf>
    <xf numFmtId="175" fontId="4" fillId="6" borderId="61" xfId="0" applyNumberFormat="1" applyFont="1" applyFill="1" applyBorder="1" applyAlignment="1" applyProtection="1">
      <alignment vertical="center"/>
    </xf>
    <xf numFmtId="0" fontId="0" fillId="0" borderId="6" xfId="0" applyBorder="1"/>
    <xf numFmtId="173" fontId="14" fillId="0" borderId="14" xfId="0" applyNumberFormat="1" applyFont="1" applyBorder="1" applyAlignment="1">
      <alignment vertical="center"/>
    </xf>
    <xf numFmtId="14" fontId="19" fillId="3" borderId="22" xfId="0" applyNumberFormat="1" applyFont="1" applyFill="1" applyBorder="1" applyProtection="1">
      <protection locked="0"/>
    </xf>
    <xf numFmtId="0" fontId="14" fillId="0" borderId="62" xfId="0" applyFont="1" applyBorder="1" applyAlignment="1">
      <alignment horizontal="right" vertical="center"/>
    </xf>
    <xf numFmtId="1" fontId="14" fillId="0" borderId="62" xfId="0" applyNumberFormat="1" applyFont="1" applyBorder="1" applyAlignment="1">
      <alignment horizontal="left" vertical="center"/>
    </xf>
    <xf numFmtId="0" fontId="14" fillId="0" borderId="62" xfId="0" applyFont="1" applyBorder="1" applyAlignment="1">
      <alignment vertical="center"/>
    </xf>
    <xf numFmtId="0" fontId="19" fillId="3" borderId="63" xfId="0" applyFont="1" applyFill="1" applyBorder="1" applyAlignment="1" applyProtection="1">
      <alignment vertical="center"/>
      <protection locked="0"/>
    </xf>
    <xf numFmtId="0" fontId="19" fillId="3" borderId="64" xfId="0" applyFont="1" applyFill="1" applyBorder="1" applyAlignment="1" applyProtection="1">
      <alignment vertical="center"/>
      <protection locked="0"/>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9" fillId="3" borderId="65" xfId="0" applyFont="1" applyFill="1" applyBorder="1" applyAlignment="1" applyProtection="1">
      <alignment vertical="center"/>
      <protection locked="0"/>
    </xf>
    <xf numFmtId="0" fontId="17" fillId="3" borderId="25" xfId="0" applyFont="1" applyFill="1" applyBorder="1" applyAlignment="1">
      <alignment horizontal="left" vertical="center"/>
    </xf>
    <xf numFmtId="0" fontId="19" fillId="3" borderId="66" xfId="0" applyFont="1" applyFill="1" applyBorder="1" applyAlignment="1" applyProtection="1">
      <alignment vertical="center"/>
      <protection locked="0"/>
    </xf>
    <xf numFmtId="0" fontId="17" fillId="0" borderId="16" xfId="0" applyFont="1" applyBorder="1" applyAlignment="1">
      <alignment vertical="center"/>
    </xf>
    <xf numFmtId="0" fontId="19" fillId="3" borderId="67" xfId="0" applyFont="1" applyFill="1" applyBorder="1" applyAlignment="1" applyProtection="1">
      <alignment vertical="center"/>
      <protection locked="0"/>
    </xf>
    <xf numFmtId="0" fontId="44" fillId="0" borderId="8" xfId="0" applyFont="1" applyBorder="1" applyAlignment="1">
      <alignment horizontal="right" vertical="center"/>
    </xf>
    <xf numFmtId="0" fontId="16" fillId="0" borderId="62" xfId="0" applyFont="1" applyBorder="1" applyAlignment="1">
      <alignment vertical="center"/>
    </xf>
    <xf numFmtId="0" fontId="16" fillId="0" borderId="17" xfId="0" applyFont="1" applyBorder="1" applyAlignment="1">
      <alignment vertical="center"/>
    </xf>
    <xf numFmtId="173" fontId="16" fillId="0" borderId="18" xfId="0" applyNumberFormat="1" applyFont="1" applyBorder="1" applyAlignment="1">
      <alignment vertical="center"/>
    </xf>
    <xf numFmtId="14" fontId="20" fillId="3" borderId="22" xfId="0" applyNumberFormat="1" applyFont="1" applyFill="1" applyBorder="1" applyProtection="1">
      <protection locked="0"/>
    </xf>
    <xf numFmtId="0" fontId="17" fillId="0" borderId="7" xfId="0" applyFont="1" applyBorder="1" applyAlignment="1">
      <alignment horizontal="right" vertical="center"/>
    </xf>
    <xf numFmtId="0" fontId="17" fillId="0" borderId="62" xfId="0" applyFont="1" applyBorder="1" applyAlignment="1">
      <alignment horizontal="right" vertical="center"/>
    </xf>
    <xf numFmtId="14" fontId="19" fillId="3" borderId="68" xfId="0" applyNumberFormat="1" applyFont="1" applyFill="1" applyBorder="1" applyProtection="1">
      <protection locked="0"/>
    </xf>
    <xf numFmtId="0" fontId="19" fillId="3" borderId="68" xfId="0" applyFont="1" applyFill="1" applyBorder="1" applyAlignment="1" applyProtection="1">
      <alignment vertical="center"/>
      <protection locked="0"/>
    </xf>
    <xf numFmtId="0" fontId="19" fillId="3" borderId="52" xfId="0" applyFont="1" applyFill="1" applyBorder="1" applyAlignment="1" applyProtection="1">
      <alignment vertical="center"/>
      <protection locked="0"/>
    </xf>
    <xf numFmtId="0" fontId="19" fillId="3" borderId="53" xfId="0" applyFont="1" applyFill="1" applyBorder="1" applyAlignment="1" applyProtection="1">
      <alignment vertical="center"/>
      <protection locked="0"/>
    </xf>
    <xf numFmtId="0" fontId="19" fillId="3" borderId="54"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5" fillId="3" borderId="54" xfId="0" applyFont="1" applyFill="1" applyBorder="1" applyAlignment="1" applyProtection="1">
      <alignment vertical="center"/>
    </xf>
    <xf numFmtId="0" fontId="19" fillId="0" borderId="32" xfId="0" applyFont="1" applyBorder="1" applyAlignment="1" applyProtection="1">
      <alignment vertical="center"/>
      <protection locked="0"/>
    </xf>
    <xf numFmtId="0" fontId="7" fillId="0" borderId="69" xfId="0" applyFont="1" applyBorder="1" applyAlignment="1">
      <alignment vertical="center"/>
    </xf>
    <xf numFmtId="173" fontId="14" fillId="0" borderId="70" xfId="0" applyNumberFormat="1" applyFont="1" applyBorder="1" applyAlignment="1">
      <alignment vertical="center"/>
    </xf>
    <xf numFmtId="0" fontId="66" fillId="0" borderId="10" xfId="0" applyFont="1" applyBorder="1" applyAlignment="1">
      <alignment horizontal="left" vertical="center"/>
    </xf>
    <xf numFmtId="0" fontId="7" fillId="0" borderId="71" xfId="0" applyFont="1" applyBorder="1" applyAlignment="1" applyProtection="1">
      <alignment horizontal="center" vertical="center" wrapText="1"/>
    </xf>
    <xf numFmtId="49" fontId="7" fillId="0" borderId="71" xfId="0" applyNumberFormat="1" applyFont="1" applyBorder="1" applyAlignment="1" applyProtection="1">
      <alignment vertical="center"/>
    </xf>
    <xf numFmtId="49" fontId="7" fillId="0" borderId="72" xfId="0" applyNumberFormat="1" applyFont="1" applyFill="1" applyBorder="1" applyAlignment="1" applyProtection="1">
      <alignment horizontal="center" vertical="center" wrapText="1"/>
    </xf>
    <xf numFmtId="15" fontId="7" fillId="7" borderId="54" xfId="0" applyNumberFormat="1" applyFont="1" applyFill="1" applyBorder="1" applyAlignment="1" applyProtection="1">
      <alignment horizontal="center" vertical="center"/>
    </xf>
    <xf numFmtId="15" fontId="7" fillId="7" borderId="47" xfId="0" applyNumberFormat="1" applyFont="1" applyFill="1" applyBorder="1" applyAlignment="1" applyProtection="1">
      <alignment horizontal="center" vertical="center"/>
    </xf>
    <xf numFmtId="178" fontId="19" fillId="0" borderId="27" xfId="0" applyNumberFormat="1" applyFont="1" applyFill="1" applyBorder="1" applyProtection="1"/>
    <xf numFmtId="178" fontId="19" fillId="3" borderId="24" xfId="0" applyNumberFormat="1" applyFont="1" applyFill="1" applyBorder="1" applyProtection="1">
      <protection locked="0"/>
    </xf>
    <xf numFmtId="178" fontId="19" fillId="3" borderId="27" xfId="0" applyNumberFormat="1" applyFont="1" applyFill="1" applyBorder="1" applyAlignment="1" applyProtection="1">
      <alignment vertical="center"/>
      <protection locked="0"/>
    </xf>
    <xf numFmtId="178" fontId="19" fillId="3" borderId="64" xfId="0" applyNumberFormat="1" applyFont="1" applyFill="1" applyBorder="1" applyAlignment="1" applyProtection="1">
      <alignment vertical="center"/>
      <protection locked="0"/>
    </xf>
    <xf numFmtId="178" fontId="19" fillId="3" borderId="24" xfId="0" applyNumberFormat="1" applyFont="1" applyFill="1" applyBorder="1" applyAlignment="1" applyProtection="1">
      <alignment vertical="center"/>
      <protection locked="0"/>
    </xf>
    <xf numFmtId="178" fontId="19" fillId="3" borderId="52" xfId="0" applyNumberFormat="1" applyFont="1" applyFill="1" applyBorder="1" applyProtection="1">
      <protection locked="0"/>
    </xf>
    <xf numFmtId="0" fontId="5" fillId="0" borderId="62" xfId="0" applyFont="1" applyFill="1" applyBorder="1" applyAlignment="1" applyProtection="1">
      <alignment vertical="center"/>
    </xf>
    <xf numFmtId="0" fontId="47" fillId="0" borderId="0" xfId="0" applyFont="1" applyFill="1" applyBorder="1" applyAlignment="1" applyProtection="1">
      <alignment vertical="center"/>
    </xf>
    <xf numFmtId="0" fontId="71" fillId="0" borderId="62" xfId="0" applyFont="1" applyFill="1" applyBorder="1" applyAlignment="1" applyProtection="1">
      <alignment vertical="center"/>
    </xf>
    <xf numFmtId="0" fontId="49" fillId="0" borderId="62" xfId="0" applyFont="1" applyFill="1" applyBorder="1" applyAlignment="1" applyProtection="1">
      <alignment vertical="center"/>
    </xf>
    <xf numFmtId="0" fontId="72" fillId="0" borderId="62" xfId="0" applyFont="1" applyFill="1" applyBorder="1" applyAlignment="1" applyProtection="1">
      <alignment vertical="center"/>
    </xf>
    <xf numFmtId="0" fontId="73" fillId="0" borderId="0" xfId="0" applyFont="1" applyFill="1" applyBorder="1" applyAlignment="1" applyProtection="1">
      <alignment vertical="center"/>
    </xf>
    <xf numFmtId="3" fontId="28" fillId="0" borderId="0" xfId="14" applyNumberFormat="1" applyFont="1" applyFill="1" applyBorder="1" applyProtection="1"/>
    <xf numFmtId="0" fontId="26" fillId="0" borderId="0" xfId="0" applyFont="1" applyFill="1"/>
    <xf numFmtId="0" fontId="0" fillId="0" borderId="0" xfId="0" applyFill="1"/>
    <xf numFmtId="0" fontId="28" fillId="0" borderId="0" xfId="0" applyFont="1" applyFill="1"/>
    <xf numFmtId="49" fontId="17" fillId="3" borderId="29" xfId="0" applyNumberFormat="1" applyFont="1" applyFill="1" applyBorder="1" applyAlignment="1" applyProtection="1">
      <alignment vertical="center"/>
      <protection locked="0"/>
    </xf>
    <xf numFmtId="49" fontId="17" fillId="0" borderId="0" xfId="0" applyNumberFormat="1" applyFont="1" applyFill="1" applyBorder="1" applyAlignment="1">
      <alignment vertical="center"/>
    </xf>
    <xf numFmtId="0" fontId="78" fillId="0" borderId="44" xfId="0" applyFont="1" applyBorder="1" applyAlignment="1" applyProtection="1">
      <alignment horizontal="left" vertical="center"/>
    </xf>
    <xf numFmtId="1" fontId="25" fillId="0" borderId="30"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7" fillId="0" borderId="6" xfId="0" applyFont="1" applyBorder="1" applyAlignment="1" applyProtection="1">
      <alignment horizontal="righ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0" fontId="47" fillId="0" borderId="6" xfId="13" applyFont="1" applyFill="1" applyBorder="1" applyAlignment="1" applyProtection="1">
      <alignment horizontal="left" vertical="center"/>
    </xf>
    <xf numFmtId="0" fontId="17" fillId="0" borderId="6"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16" fillId="0" borderId="0" xfId="0" applyNumberFormat="1" applyFont="1" applyAlignment="1">
      <alignment vertical="center" wrapText="1"/>
    </xf>
    <xf numFmtId="0" fontId="16" fillId="0" borderId="0" xfId="0" applyNumberFormat="1" applyFont="1" applyBorder="1" applyAlignment="1">
      <alignment vertical="center" wrapText="1"/>
    </xf>
    <xf numFmtId="0" fontId="16" fillId="0" borderId="0" xfId="0" applyFont="1" applyBorder="1" applyAlignment="1">
      <alignment vertical="center" wrapText="1"/>
    </xf>
    <xf numFmtId="0" fontId="17" fillId="0" borderId="0" xfId="0" applyNumberFormat="1" applyFont="1" applyAlignment="1">
      <alignment vertical="center" wrapText="1"/>
    </xf>
    <xf numFmtId="0" fontId="17" fillId="0" borderId="7" xfId="0" applyFont="1" applyBorder="1" applyAlignment="1" applyProtection="1">
      <alignment vertical="center"/>
    </xf>
    <xf numFmtId="0" fontId="37" fillId="0" borderId="0" xfId="0" applyFont="1" applyBorder="1" applyAlignment="1" applyProtection="1">
      <alignment horizontal="right" vertical="center"/>
    </xf>
    <xf numFmtId="0" fontId="17" fillId="0" borderId="2" xfId="0" applyFont="1" applyBorder="1" applyAlignment="1" applyProtection="1">
      <alignment horizontal="right" vertical="center"/>
    </xf>
    <xf numFmtId="0" fontId="26" fillId="0" borderId="2" xfId="0" applyFont="1" applyBorder="1" applyAlignment="1">
      <alignment horizontal="right" vertical="center"/>
    </xf>
    <xf numFmtId="0" fontId="57" fillId="0" borderId="8" xfId="0" applyFont="1" applyBorder="1" applyAlignment="1">
      <alignment horizontal="lef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4" fillId="0" borderId="0" xfId="0" applyFont="1" applyBorder="1" applyAlignment="1" applyProtection="1">
      <alignment vertical="center" wrapText="1"/>
    </xf>
    <xf numFmtId="175" fontId="19" fillId="0" borderId="73" xfId="0" applyNumberFormat="1" applyFont="1" applyFill="1" applyBorder="1"/>
    <xf numFmtId="175" fontId="19" fillId="0" borderId="74" xfId="0" applyNumberFormat="1" applyFont="1" applyFill="1" applyBorder="1"/>
    <xf numFmtId="164" fontId="19" fillId="0" borderId="75" xfId="0" applyNumberFormat="1" applyFont="1" applyBorder="1"/>
    <xf numFmtId="164" fontId="19" fillId="0" borderId="19" xfId="0" applyNumberFormat="1" applyFont="1" applyBorder="1"/>
    <xf numFmtId="164" fontId="19" fillId="0" borderId="76" xfId="0" applyNumberFormat="1" applyFont="1" applyBorder="1"/>
    <xf numFmtId="164" fontId="19" fillId="0" borderId="77" xfId="0" applyNumberFormat="1" applyFont="1" applyBorder="1"/>
    <xf numFmtId="175" fontId="19" fillId="0" borderId="73" xfId="0" applyNumberFormat="1" applyFont="1" applyFill="1" applyBorder="1" applyAlignment="1">
      <alignment vertical="center"/>
    </xf>
    <xf numFmtId="175" fontId="19" fillId="0" borderId="74" xfId="0" applyNumberFormat="1" applyFont="1" applyFill="1" applyBorder="1" applyAlignment="1">
      <alignment horizontal="right" vertical="center"/>
    </xf>
    <xf numFmtId="175" fontId="19" fillId="0" borderId="19" xfId="0" applyNumberFormat="1" applyFont="1" applyBorder="1" applyAlignment="1">
      <alignment vertical="center"/>
    </xf>
    <xf numFmtId="175" fontId="19" fillId="0" borderId="77" xfId="0" applyNumberFormat="1" applyFont="1" applyBorder="1" applyAlignment="1">
      <alignment vertical="center"/>
    </xf>
    <xf numFmtId="49" fontId="16" fillId="0" borderId="0" xfId="0" applyNumberFormat="1" applyFont="1" applyBorder="1" applyAlignment="1" applyProtection="1">
      <alignment vertical="center"/>
    </xf>
    <xf numFmtId="0" fontId="80" fillId="0" borderId="0" xfId="0" applyFont="1" applyBorder="1" applyAlignment="1" applyProtection="1">
      <alignment horizontal="center" vertical="center"/>
    </xf>
    <xf numFmtId="49" fontId="56" fillId="0" borderId="0" xfId="0" applyNumberFormat="1" applyFont="1" applyBorder="1" applyAlignment="1" applyProtection="1">
      <alignment vertical="center"/>
    </xf>
    <xf numFmtId="0" fontId="56" fillId="0" borderId="0" xfId="0" applyFont="1" applyBorder="1" applyAlignment="1" applyProtection="1">
      <alignment vertical="center"/>
    </xf>
    <xf numFmtId="0" fontId="56" fillId="0" borderId="0" xfId="0" applyFont="1" applyBorder="1" applyAlignment="1" applyProtection="1">
      <alignment horizontal="center" vertical="center"/>
    </xf>
    <xf numFmtId="0" fontId="14" fillId="0" borderId="12" xfId="0" applyFont="1" applyBorder="1" applyAlignment="1" applyProtection="1">
      <alignment vertical="center"/>
    </xf>
    <xf numFmtId="0" fontId="14" fillId="0" borderId="0" xfId="0" applyFont="1" applyBorder="1" applyAlignment="1" applyProtection="1">
      <alignment horizontal="left" vertical="center"/>
    </xf>
    <xf numFmtId="0" fontId="14" fillId="0" borderId="2" xfId="0" applyFont="1" applyBorder="1" applyAlignment="1" applyProtection="1">
      <alignment vertical="center"/>
    </xf>
    <xf numFmtId="2" fontId="4" fillId="0" borderId="0" xfId="0" applyNumberFormat="1" applyFont="1" applyBorder="1" applyAlignment="1" applyProtection="1">
      <alignment horizontal="left" vertical="center"/>
    </xf>
    <xf numFmtId="0" fontId="15"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xf>
    <xf numFmtId="0" fontId="14" fillId="0" borderId="8" xfId="0" applyFont="1" applyBorder="1" applyAlignment="1" applyProtection="1">
      <alignment vertical="center"/>
    </xf>
    <xf numFmtId="49" fontId="35" fillId="0" borderId="0" xfId="0" applyNumberFormat="1" applyFont="1" applyBorder="1" applyAlignment="1" applyProtection="1">
      <alignment vertical="center"/>
    </xf>
    <xf numFmtId="0" fontId="35" fillId="0" borderId="8" xfId="0" applyFont="1" applyBorder="1" applyAlignment="1" applyProtection="1">
      <alignment vertical="center"/>
    </xf>
    <xf numFmtId="0" fontId="4" fillId="0" borderId="2" xfId="0" applyFont="1" applyBorder="1" applyAlignment="1" applyProtection="1">
      <alignment vertical="center" wrapText="1"/>
    </xf>
    <xf numFmtId="0" fontId="4" fillId="0" borderId="2" xfId="0" applyFont="1" applyBorder="1" applyAlignment="1" applyProtection="1">
      <alignment vertical="center"/>
    </xf>
    <xf numFmtId="0" fontId="42" fillId="0" borderId="0" xfId="0" applyFont="1" applyBorder="1" applyAlignment="1" applyProtection="1">
      <alignment horizontal="left" vertical="center"/>
    </xf>
    <xf numFmtId="0" fontId="4" fillId="0" borderId="78" xfId="0" applyFont="1" applyBorder="1" applyAlignment="1" applyProtection="1">
      <alignment vertical="center"/>
    </xf>
    <xf numFmtId="0" fontId="4" fillId="0" borderId="62" xfId="0" applyFont="1" applyBorder="1" applyAlignment="1" applyProtection="1">
      <alignment vertical="center"/>
    </xf>
    <xf numFmtId="0" fontId="48" fillId="0" borderId="62" xfId="0" applyFont="1" applyBorder="1" applyAlignment="1" applyProtection="1">
      <alignment horizontal="left" vertical="center"/>
    </xf>
    <xf numFmtId="0" fontId="42" fillId="0" borderId="62" xfId="0" applyFont="1" applyBorder="1" applyAlignment="1" applyProtection="1">
      <alignment horizontal="left" vertical="center"/>
    </xf>
    <xf numFmtId="0" fontId="19" fillId="0" borderId="62" xfId="0" applyFont="1" applyBorder="1" applyAlignment="1" applyProtection="1">
      <alignment vertical="center"/>
    </xf>
    <xf numFmtId="0" fontId="84" fillId="0" borderId="0" xfId="0" applyFont="1"/>
    <xf numFmtId="175" fontId="19" fillId="0" borderId="77" xfId="0" applyNumberFormat="1" applyFont="1" applyBorder="1"/>
    <xf numFmtId="0" fontId="25" fillId="3" borderId="52" xfId="0" applyFont="1" applyFill="1" applyBorder="1" applyAlignment="1" applyProtection="1">
      <alignment horizontal="center" vertical="center"/>
      <protection locked="0"/>
    </xf>
    <xf numFmtId="164" fontId="19" fillId="0" borderId="73" xfId="0" applyNumberFormat="1" applyFont="1" applyBorder="1"/>
    <xf numFmtId="0" fontId="37" fillId="0" borderId="8" xfId="0" applyFont="1" applyBorder="1" applyAlignment="1">
      <alignment vertical="center"/>
    </xf>
    <xf numFmtId="0" fontId="6" fillId="0" borderId="5" xfId="0" applyFont="1" applyFill="1" applyBorder="1" applyAlignment="1" applyProtection="1">
      <alignment horizontal="right" vertical="center"/>
    </xf>
    <xf numFmtId="0" fontId="82" fillId="0" borderId="62" xfId="0" applyFont="1" applyFill="1" applyBorder="1" applyAlignment="1" applyProtection="1">
      <alignment horizontal="right" vertical="center"/>
    </xf>
    <xf numFmtId="179" fontId="65" fillId="0" borderId="2" xfId="0" applyNumberFormat="1" applyFont="1" applyBorder="1" applyAlignment="1" applyProtection="1">
      <alignment vertical="center"/>
    </xf>
    <xf numFmtId="0" fontId="41" fillId="0" borderId="78" xfId="0" applyFont="1" applyFill="1" applyBorder="1" applyAlignment="1" applyProtection="1">
      <alignment horizontal="left" vertical="center"/>
    </xf>
    <xf numFmtId="0" fontId="89" fillId="0" borderId="0" xfId="0" applyFont="1"/>
    <xf numFmtId="0" fontId="84" fillId="0" borderId="0" xfId="0" applyFont="1" applyFill="1"/>
    <xf numFmtId="9" fontId="4" fillId="0" borderId="4" xfId="15" applyFont="1" applyFill="1" applyBorder="1" applyAlignment="1" applyProtection="1">
      <alignment vertical="center"/>
    </xf>
    <xf numFmtId="173" fontId="4" fillId="0" borderId="4" xfId="0" applyNumberFormat="1" applyFont="1" applyFill="1" applyBorder="1" applyAlignment="1" applyProtection="1">
      <alignment horizontal="center" vertical="center"/>
    </xf>
    <xf numFmtId="173" fontId="6" fillId="0" borderId="4" xfId="0" applyNumberFormat="1" applyFont="1" applyFill="1" applyBorder="1" applyAlignment="1" applyProtection="1">
      <alignment horizontal="right" vertical="center"/>
    </xf>
    <xf numFmtId="0" fontId="41" fillId="0" borderId="2" xfId="0" applyFont="1" applyFill="1" applyBorder="1" applyAlignment="1" applyProtection="1">
      <alignment vertical="center"/>
    </xf>
    <xf numFmtId="0" fontId="5" fillId="0" borderId="69" xfId="0" applyFont="1" applyFill="1" applyBorder="1" applyAlignment="1" applyProtection="1">
      <alignment vertical="center"/>
    </xf>
    <xf numFmtId="2" fontId="5" fillId="0" borderId="12" xfId="0" applyNumberFormat="1" applyFont="1" applyFill="1" applyBorder="1" applyAlignment="1" applyProtection="1">
      <alignment vertical="center"/>
    </xf>
    <xf numFmtId="0" fontId="25" fillId="3" borderId="79" xfId="0" applyFont="1" applyFill="1" applyBorder="1" applyAlignment="1" applyProtection="1">
      <alignment horizontal="center" vertical="center"/>
      <protection locked="0"/>
    </xf>
    <xf numFmtId="0" fontId="37" fillId="0" borderId="2" xfId="0" applyFont="1" applyFill="1" applyBorder="1" applyAlignment="1" applyProtection="1">
      <alignment vertical="center"/>
    </xf>
    <xf numFmtId="0" fontId="14" fillId="0" borderId="62" xfId="0" applyFont="1" applyBorder="1" applyAlignment="1" applyProtection="1">
      <alignment vertical="center"/>
    </xf>
    <xf numFmtId="0" fontId="14" fillId="0" borderId="62" xfId="0" applyFont="1" applyFill="1" applyBorder="1" applyAlignment="1" applyProtection="1">
      <alignment vertical="center"/>
    </xf>
    <xf numFmtId="0" fontId="23" fillId="0" borderId="0" xfId="0" applyFont="1" applyBorder="1" applyAlignment="1">
      <alignment vertical="center"/>
    </xf>
    <xf numFmtId="0" fontId="76" fillId="0" borderId="80" xfId="0" applyFont="1" applyFill="1" applyBorder="1" applyAlignment="1" applyProtection="1">
      <alignment horizontal="center" vertical="center"/>
    </xf>
    <xf numFmtId="0" fontId="25" fillId="3" borderId="30" xfId="0" applyFont="1" applyFill="1" applyBorder="1" applyAlignment="1" applyProtection="1">
      <alignment horizontal="center" vertical="center"/>
      <protection locked="0"/>
    </xf>
    <xf numFmtId="173" fontId="4" fillId="0" borderId="12" xfId="0" quotePrefix="1" applyNumberFormat="1" applyFont="1" applyFill="1" applyBorder="1" applyAlignment="1" applyProtection="1">
      <alignment vertical="center"/>
    </xf>
    <xf numFmtId="173" fontId="47" fillId="0" borderId="6" xfId="0" applyNumberFormat="1" applyFont="1" applyFill="1" applyBorder="1" applyAlignment="1" applyProtection="1">
      <alignment horizontal="right" vertical="center"/>
    </xf>
    <xf numFmtId="0" fontId="48" fillId="0" borderId="7" xfId="0" applyFont="1" applyBorder="1" applyAlignment="1" applyProtection="1">
      <alignment vertical="center"/>
    </xf>
    <xf numFmtId="0" fontId="21" fillId="0" borderId="6" xfId="0" applyFont="1" applyFill="1" applyBorder="1" applyAlignment="1" applyProtection="1">
      <alignment vertical="center"/>
    </xf>
    <xf numFmtId="173" fontId="47" fillId="0" borderId="6" xfId="0" applyNumberFormat="1" applyFont="1" applyFill="1" applyBorder="1" applyAlignment="1" applyProtection="1">
      <alignment vertical="center"/>
    </xf>
    <xf numFmtId="173" fontId="41" fillId="0" borderId="6" xfId="0" applyNumberFormat="1" applyFont="1" applyFill="1" applyBorder="1" applyAlignment="1" applyProtection="1">
      <alignment vertical="center"/>
    </xf>
    <xf numFmtId="173" fontId="21" fillId="0" borderId="6" xfId="0" applyNumberFormat="1" applyFont="1" applyFill="1" applyBorder="1" applyAlignment="1" applyProtection="1">
      <alignment vertical="center"/>
    </xf>
    <xf numFmtId="0" fontId="14" fillId="0" borderId="7" xfId="0" applyFont="1" applyBorder="1" applyAlignment="1" applyProtection="1">
      <alignment vertical="center"/>
    </xf>
    <xf numFmtId="0" fontId="44" fillId="0" borderId="6" xfId="0" applyFont="1" applyBorder="1" applyAlignment="1" applyProtection="1">
      <alignment vertical="center"/>
    </xf>
    <xf numFmtId="0" fontId="4" fillId="0" borderId="6" xfId="0" applyFont="1" applyFill="1" applyBorder="1" applyAlignment="1" applyProtection="1">
      <alignment horizontal="left" vertical="center"/>
    </xf>
    <xf numFmtId="0" fontId="45" fillId="0" borderId="6" xfId="0" applyFont="1" applyFill="1" applyBorder="1" applyAlignment="1" applyProtection="1">
      <alignment horizontal="left" vertical="center"/>
    </xf>
    <xf numFmtId="0" fontId="47" fillId="0" borderId="6" xfId="0" applyFont="1" applyFill="1" applyBorder="1" applyAlignment="1" applyProtection="1">
      <alignment horizontal="right" vertical="center"/>
    </xf>
    <xf numFmtId="0" fontId="14" fillId="0" borderId="2" xfId="0" applyFont="1" applyBorder="1" applyAlignment="1" applyProtection="1">
      <alignment horizontal="left" vertical="center"/>
    </xf>
    <xf numFmtId="0" fontId="61" fillId="0" borderId="12" xfId="0" applyFont="1" applyBorder="1" applyAlignment="1" applyProtection="1">
      <alignment vertical="center" wrapText="1"/>
    </xf>
    <xf numFmtId="0" fontId="28" fillId="0" borderId="0" xfId="0" applyFont="1" applyFill="1" applyBorder="1" applyAlignment="1" applyProtection="1">
      <alignment horizontal="left" vertical="center"/>
    </xf>
    <xf numFmtId="0" fontId="15" fillId="0" borderId="6" xfId="0" applyFont="1" applyBorder="1" applyAlignment="1" applyProtection="1">
      <alignment horizontal="right" vertical="center"/>
    </xf>
    <xf numFmtId="9" fontId="59" fillId="0" borderId="2" xfId="0" applyNumberFormat="1" applyFont="1" applyFill="1" applyBorder="1" applyAlignment="1" applyProtection="1">
      <alignment vertical="center"/>
    </xf>
    <xf numFmtId="0" fontId="60" fillId="0" borderId="0" xfId="0" applyFont="1" applyBorder="1" applyAlignment="1" applyProtection="1">
      <alignment vertical="center"/>
    </xf>
    <xf numFmtId="0" fontId="61" fillId="0" borderId="0" xfId="0" applyFont="1" applyBorder="1" applyAlignment="1" applyProtection="1">
      <alignment vertical="center"/>
    </xf>
    <xf numFmtId="0" fontId="34" fillId="0" borderId="0" xfId="0" applyFont="1" applyBorder="1" applyAlignment="1">
      <alignment horizontal="left" vertical="center"/>
    </xf>
    <xf numFmtId="173" fontId="6" fillId="0" borderId="6" xfId="0" applyNumberFormat="1" applyFont="1" applyFill="1" applyBorder="1" applyAlignment="1" applyProtection="1">
      <alignment horizontal="right" vertical="center"/>
    </xf>
    <xf numFmtId="0" fontId="48" fillId="0" borderId="4" xfId="0" applyFont="1" applyBorder="1" applyAlignment="1" applyProtection="1">
      <alignment horizontal="left" vertical="center"/>
    </xf>
    <xf numFmtId="173" fontId="16" fillId="0" borderId="8" xfId="0" applyNumberFormat="1" applyFont="1" applyFill="1" applyBorder="1" applyAlignment="1" applyProtection="1">
      <alignment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85" fillId="0" borderId="10" xfId="0" applyFont="1" applyBorder="1" applyAlignment="1" applyProtection="1">
      <alignment horizontal="center" vertical="center"/>
      <protection locked="0"/>
    </xf>
    <xf numFmtId="49" fontId="56" fillId="0" borderId="81" xfId="0" applyNumberFormat="1" applyFont="1" applyBorder="1" applyAlignment="1" applyProtection="1">
      <alignment vertical="center"/>
    </xf>
    <xf numFmtId="180" fontId="56" fillId="0" borderId="81" xfId="0" applyNumberFormat="1" applyFont="1" applyBorder="1" applyAlignment="1" applyProtection="1">
      <alignment horizontal="left" vertical="center"/>
    </xf>
    <xf numFmtId="0" fontId="17" fillId="0" borderId="2" xfId="0" applyFont="1" applyFill="1" applyBorder="1" applyAlignment="1" applyProtection="1">
      <alignment horizontal="right" vertical="center"/>
    </xf>
    <xf numFmtId="49" fontId="56" fillId="0" borderId="30" xfId="0" applyNumberFormat="1" applyFont="1" applyBorder="1" applyAlignment="1" applyProtection="1">
      <alignment vertical="center"/>
    </xf>
    <xf numFmtId="173" fontId="5" fillId="0" borderId="0" xfId="0" applyNumberFormat="1" applyFont="1" applyFill="1" applyBorder="1" applyAlignment="1" applyProtection="1">
      <alignment horizontal="left" vertical="center"/>
    </xf>
    <xf numFmtId="173" fontId="4" fillId="0" borderId="13" xfId="0" applyNumberFormat="1" applyFont="1" applyFill="1" applyBorder="1" applyAlignment="1" applyProtection="1">
      <alignment vertical="center"/>
    </xf>
    <xf numFmtId="9" fontId="92" fillId="0" borderId="2" xfId="0" applyNumberFormat="1" applyFont="1" applyFill="1" applyBorder="1" applyAlignment="1" applyProtection="1">
      <alignment vertical="center"/>
    </xf>
    <xf numFmtId="9" fontId="5" fillId="0" borderId="12" xfId="15" applyFont="1" applyFill="1" applyBorder="1" applyAlignment="1" applyProtection="1">
      <alignment vertical="center"/>
    </xf>
    <xf numFmtId="173" fontId="6" fillId="0" borderId="12" xfId="0" applyNumberFormat="1" applyFont="1" applyFill="1" applyBorder="1" applyAlignment="1" applyProtection="1">
      <alignment horizontal="right" vertical="center"/>
    </xf>
    <xf numFmtId="0" fontId="42" fillId="0" borderId="2" xfId="0" applyFont="1" applyFill="1" applyBorder="1" applyAlignment="1" applyProtection="1">
      <alignment vertical="center"/>
    </xf>
    <xf numFmtId="173" fontId="5" fillId="0" borderId="0" xfId="0" applyNumberFormat="1" applyFont="1" applyFill="1" applyBorder="1" applyAlignment="1" applyProtection="1">
      <alignment horizontal="right" vertical="center"/>
    </xf>
    <xf numFmtId="177" fontId="56" fillId="0" borderId="82" xfId="0" applyNumberFormat="1" applyFont="1" applyBorder="1" applyAlignment="1" applyProtection="1">
      <alignment horizontal="left" vertical="center"/>
    </xf>
    <xf numFmtId="49" fontId="56" fillId="0" borderId="40" xfId="0" applyNumberFormat="1" applyFont="1" applyBorder="1" applyAlignment="1" applyProtection="1">
      <alignment vertical="center"/>
    </xf>
    <xf numFmtId="49" fontId="56" fillId="0" borderId="83" xfId="0" applyNumberFormat="1" applyFont="1" applyBorder="1" applyAlignment="1" applyProtection="1">
      <alignment vertical="center"/>
    </xf>
    <xf numFmtId="0" fontId="44" fillId="0" borderId="3" xfId="0" applyFont="1" applyBorder="1" applyAlignment="1" applyProtection="1">
      <alignment vertical="center"/>
    </xf>
    <xf numFmtId="0" fontId="14" fillId="0" borderId="4" xfId="0" applyFont="1" applyBorder="1" applyAlignment="1" applyProtection="1">
      <alignment vertical="center"/>
    </xf>
    <xf numFmtId="0" fontId="44" fillId="0" borderId="4" xfId="0" applyFont="1" applyBorder="1" applyAlignment="1" applyProtection="1">
      <alignment horizontal="right" vertical="center"/>
    </xf>
    <xf numFmtId="0" fontId="48" fillId="0" borderId="2" xfId="0" applyFont="1" applyFill="1" applyBorder="1" applyAlignment="1" applyProtection="1">
      <alignment vertical="center"/>
    </xf>
    <xf numFmtId="9" fontId="16" fillId="0" borderId="2" xfId="0" applyNumberFormat="1" applyFont="1" applyFill="1" applyBorder="1" applyAlignment="1" applyProtection="1">
      <alignment vertical="center"/>
    </xf>
    <xf numFmtId="0" fontId="86" fillId="0" borderId="9" xfId="0" applyFont="1" applyBorder="1" applyAlignment="1" applyProtection="1">
      <alignment horizontal="center" vertical="center"/>
      <protection locked="0"/>
    </xf>
    <xf numFmtId="175" fontId="7" fillId="0" borderId="84" xfId="0" applyNumberFormat="1" applyFont="1" applyBorder="1" applyAlignment="1" applyProtection="1">
      <alignment vertical="center"/>
    </xf>
    <xf numFmtId="175" fontId="7" fillId="0" borderId="85" xfId="0" applyNumberFormat="1" applyFont="1" applyBorder="1" applyAlignment="1" applyProtection="1">
      <alignment vertical="center"/>
    </xf>
    <xf numFmtId="0" fontId="93" fillId="0" borderId="2" xfId="0" applyFont="1" applyBorder="1" applyAlignment="1" applyProtection="1">
      <alignment horizontal="center" vertical="center"/>
      <protection locked="0"/>
    </xf>
    <xf numFmtId="49" fontId="81" fillId="0" borderId="10" xfId="0" applyNumberFormat="1" applyFont="1" applyBorder="1" applyAlignment="1" applyProtection="1">
      <alignment vertical="center"/>
    </xf>
    <xf numFmtId="49" fontId="56" fillId="0" borderId="86" xfId="0" applyNumberFormat="1" applyFont="1" applyBorder="1" applyAlignment="1" applyProtection="1">
      <alignment vertical="center"/>
    </xf>
    <xf numFmtId="0" fontId="14" fillId="0" borderId="17" xfId="0" applyFont="1" applyBorder="1" applyAlignment="1" applyProtection="1">
      <alignment vertical="center"/>
    </xf>
    <xf numFmtId="0" fontId="17" fillId="0" borderId="17" xfId="0" applyFont="1" applyBorder="1" applyAlignment="1" applyProtection="1">
      <alignment vertical="center"/>
    </xf>
    <xf numFmtId="49" fontId="56" fillId="0" borderId="17" xfId="0" applyNumberFormat="1" applyFont="1" applyBorder="1" applyAlignment="1" applyProtection="1">
      <alignment vertical="center"/>
    </xf>
    <xf numFmtId="0" fontId="17" fillId="0" borderId="17" xfId="0" applyFont="1" applyBorder="1" applyAlignment="1" applyProtection="1">
      <alignment horizontal="right" vertical="center"/>
    </xf>
    <xf numFmtId="0" fontId="17" fillId="0" borderId="30" xfId="0" applyFont="1" applyBorder="1" applyAlignment="1" applyProtection="1">
      <alignment horizontal="right" vertical="center"/>
    </xf>
    <xf numFmtId="173" fontId="7" fillId="0" borderId="71" xfId="0" applyNumberFormat="1" applyFont="1" applyBorder="1" applyAlignment="1" applyProtection="1">
      <alignment vertical="center"/>
    </xf>
    <xf numFmtId="0" fontId="14" fillId="0" borderId="87" xfId="0" applyFont="1" applyBorder="1" applyAlignment="1">
      <alignment vertical="center"/>
    </xf>
    <xf numFmtId="0" fontId="14" fillId="0" borderId="88" xfId="0" applyFont="1" applyBorder="1" applyAlignment="1">
      <alignment vertical="center"/>
    </xf>
    <xf numFmtId="0" fontId="16" fillId="0" borderId="88" xfId="0" applyFont="1" applyBorder="1" applyAlignment="1">
      <alignment vertical="center"/>
    </xf>
    <xf numFmtId="0" fontId="0" fillId="0" borderId="89" xfId="0" applyBorder="1"/>
    <xf numFmtId="0" fontId="0" fillId="0" borderId="1" xfId="0" applyBorder="1"/>
    <xf numFmtId="0" fontId="7" fillId="0" borderId="69" xfId="0" applyFont="1" applyBorder="1" applyAlignment="1">
      <alignment horizontal="right" vertical="center"/>
    </xf>
    <xf numFmtId="0" fontId="7" fillId="0" borderId="12" xfId="0" applyFont="1" applyBorder="1" applyAlignment="1">
      <alignment horizontal="right" vertical="center"/>
    </xf>
    <xf numFmtId="49" fontId="17" fillId="3" borderId="90" xfId="0" applyNumberFormat="1" applyFont="1" applyFill="1" applyBorder="1" applyAlignment="1" applyProtection="1">
      <alignment vertical="center"/>
      <protection locked="0"/>
    </xf>
    <xf numFmtId="173" fontId="4" fillId="0" borderId="0" xfId="0" applyNumberFormat="1" applyFont="1"/>
    <xf numFmtId="0" fontId="4" fillId="0" borderId="40" xfId="0" applyFont="1" applyBorder="1" applyAlignment="1">
      <alignment vertical="center" wrapText="1"/>
    </xf>
    <xf numFmtId="0" fontId="4" fillId="0" borderId="0" xfId="0" applyFont="1"/>
    <xf numFmtId="0" fontId="85" fillId="0" borderId="0" xfId="0" applyFont="1" applyBorder="1" applyAlignment="1" applyProtection="1">
      <alignment horizontal="center" vertical="center"/>
      <protection locked="0"/>
    </xf>
    <xf numFmtId="0" fontId="79" fillId="0" borderId="10" xfId="0" applyFont="1" applyBorder="1" applyAlignment="1" applyProtection="1">
      <alignment horizontal="left" vertical="center"/>
    </xf>
    <xf numFmtId="0" fontId="72" fillId="0" borderId="10" xfId="0" applyFont="1" applyBorder="1" applyAlignment="1" applyProtection="1">
      <alignment horizontal="left" vertical="center"/>
    </xf>
    <xf numFmtId="0" fontId="15" fillId="0" borderId="10" xfId="0" applyFont="1" applyBorder="1" applyAlignment="1" applyProtection="1">
      <alignment horizontal="left" vertical="center"/>
    </xf>
    <xf numFmtId="0" fontId="14" fillId="0" borderId="10" xfId="0" applyFont="1" applyBorder="1" applyAlignment="1" applyProtection="1">
      <alignment horizontal="left" vertical="center"/>
    </xf>
    <xf numFmtId="0" fontId="64" fillId="0" borderId="10" xfId="0" applyFont="1" applyBorder="1" applyAlignment="1" applyProtection="1">
      <alignment horizontal="left" vertical="center"/>
    </xf>
    <xf numFmtId="0" fontId="71" fillId="0" borderId="0" xfId="0" applyFont="1" applyBorder="1" applyAlignment="1" applyProtection="1">
      <alignment horizontal="left" vertical="center"/>
    </xf>
    <xf numFmtId="0" fontId="68" fillId="0" borderId="0" xfId="0" applyFont="1" applyBorder="1" applyAlignment="1" applyProtection="1">
      <alignment horizontal="left" vertical="center"/>
    </xf>
    <xf numFmtId="0" fontId="96" fillId="0" borderId="0" xfId="0" applyFont="1" applyBorder="1" applyAlignment="1" applyProtection="1">
      <alignment horizontal="left" vertical="center"/>
    </xf>
    <xf numFmtId="0" fontId="97" fillId="0" borderId="91" xfId="0" applyFont="1" applyBorder="1" applyAlignment="1" applyProtection="1">
      <alignment horizontal="center" vertical="center"/>
    </xf>
    <xf numFmtId="49" fontId="17" fillId="0" borderId="8" xfId="0" applyNumberFormat="1" applyFont="1" applyFill="1" applyBorder="1" applyAlignment="1" applyProtection="1">
      <alignment vertical="center"/>
      <protection locked="0"/>
    </xf>
    <xf numFmtId="0" fontId="85" fillId="0" borderId="92" xfId="0" applyFont="1" applyBorder="1" applyAlignment="1" applyProtection="1">
      <alignment horizontal="center" vertical="center" wrapText="1"/>
    </xf>
    <xf numFmtId="0" fontId="14" fillId="0" borderId="93" xfId="0" applyFont="1" applyBorder="1" applyAlignment="1" applyProtection="1">
      <alignment vertical="center"/>
    </xf>
    <xf numFmtId="49" fontId="14" fillId="0" borderId="0" xfId="0" applyNumberFormat="1" applyFont="1" applyBorder="1" applyAlignment="1">
      <alignment vertical="center"/>
    </xf>
    <xf numFmtId="49" fontId="17" fillId="3" borderId="42" xfId="0" applyNumberFormat="1" applyFont="1" applyFill="1" applyBorder="1" applyAlignment="1" applyProtection="1">
      <alignment vertical="center"/>
      <protection locked="0"/>
    </xf>
    <xf numFmtId="0" fontId="4" fillId="0" borderId="94" xfId="0" applyFont="1" applyBorder="1" applyAlignment="1" applyProtection="1">
      <alignment vertical="center"/>
    </xf>
    <xf numFmtId="0" fontId="4" fillId="0" borderId="95" xfId="0" applyFont="1" applyBorder="1" applyAlignment="1" applyProtection="1">
      <alignment vertical="center"/>
    </xf>
    <xf numFmtId="0" fontId="36" fillId="0" borderId="5" xfId="0" applyFont="1" applyBorder="1" applyAlignment="1" applyProtection="1">
      <alignment horizontal="center" vertical="center"/>
    </xf>
    <xf numFmtId="0" fontId="16" fillId="0" borderId="0" xfId="0" applyFont="1" applyBorder="1" applyAlignment="1" applyProtection="1">
      <alignment horizontal="right" vertical="center"/>
    </xf>
    <xf numFmtId="0" fontId="14" fillId="0" borderId="10" xfId="0" applyFont="1" applyBorder="1" applyAlignment="1" applyProtection="1">
      <alignment vertical="center"/>
    </xf>
    <xf numFmtId="49" fontId="56" fillId="0" borderId="52" xfId="0" applyNumberFormat="1" applyFont="1" applyBorder="1" applyAlignment="1" applyProtection="1">
      <alignment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xf>
    <xf numFmtId="0" fontId="38" fillId="0" borderId="13" xfId="0" applyFont="1" applyBorder="1" applyAlignment="1" applyProtection="1">
      <alignment horizontal="center" vertical="center"/>
    </xf>
    <xf numFmtId="0" fontId="44" fillId="0" borderId="60" xfId="0" applyFont="1" applyFill="1" applyBorder="1" applyAlignment="1" applyProtection="1">
      <alignment horizontal="left" vertical="center"/>
    </xf>
    <xf numFmtId="0" fontId="17" fillId="0" borderId="7" xfId="0" applyFont="1" applyBorder="1" applyAlignment="1" applyProtection="1">
      <alignment horizontal="right" vertical="center"/>
    </xf>
    <xf numFmtId="0" fontId="16" fillId="0" borderId="10" xfId="0" applyFont="1" applyBorder="1" applyAlignment="1">
      <alignment horizontal="right" vertical="center"/>
    </xf>
    <xf numFmtId="0" fontId="14" fillId="0" borderId="96" xfId="0" applyFont="1" applyBorder="1" applyAlignment="1">
      <alignment vertical="center"/>
    </xf>
    <xf numFmtId="0" fontId="14" fillId="0" borderId="53" xfId="0" applyFont="1" applyBorder="1" applyAlignment="1">
      <alignment vertical="center"/>
    </xf>
    <xf numFmtId="49" fontId="16" fillId="0" borderId="8" xfId="0" applyNumberFormat="1" applyFont="1" applyFill="1" applyBorder="1" applyAlignment="1" applyProtection="1">
      <alignment vertical="center"/>
      <protection locked="0"/>
    </xf>
    <xf numFmtId="49" fontId="17" fillId="3" borderId="40" xfId="0" applyNumberFormat="1" applyFont="1" applyFill="1" applyBorder="1" applyAlignment="1" applyProtection="1">
      <alignment vertical="center"/>
      <protection locked="0"/>
    </xf>
    <xf numFmtId="0" fontId="16" fillId="0" borderId="8" xfId="0" applyFont="1" applyFill="1" applyBorder="1" applyAlignment="1" applyProtection="1">
      <alignment horizontal="right" vertical="center"/>
    </xf>
    <xf numFmtId="164" fontId="16" fillId="1" borderId="40" xfId="0" applyNumberFormat="1"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73" fontId="7" fillId="4" borderId="59" xfId="0" applyNumberFormat="1" applyFont="1" applyFill="1" applyBorder="1" applyAlignment="1" applyProtection="1">
      <alignment horizontal="right" vertical="center"/>
    </xf>
    <xf numFmtId="0" fontId="93" fillId="0" borderId="9" xfId="0" applyFont="1" applyBorder="1" applyAlignment="1" applyProtection="1">
      <alignment horizontal="center" vertical="center"/>
    </xf>
    <xf numFmtId="0" fontId="85" fillId="0" borderId="10" xfId="0" applyFont="1" applyBorder="1" applyAlignment="1" applyProtection="1">
      <alignment horizontal="center" vertical="center"/>
    </xf>
    <xf numFmtId="0" fontId="93" fillId="0" borderId="2" xfId="0" applyFont="1" applyBorder="1" applyAlignment="1" applyProtection="1">
      <alignment horizontal="center" vertical="center"/>
    </xf>
    <xf numFmtId="0" fontId="85" fillId="0" borderId="0" xfId="0" applyFont="1" applyBorder="1" applyAlignment="1" applyProtection="1">
      <alignment horizontal="center" vertical="center"/>
    </xf>
    <xf numFmtId="0" fontId="14" fillId="0" borderId="18" xfId="0" applyFont="1" applyBorder="1" applyAlignment="1" applyProtection="1">
      <alignment vertical="center"/>
    </xf>
    <xf numFmtId="0" fontId="95" fillId="0" borderId="0" xfId="13" applyFont="1" applyFill="1" applyBorder="1" applyAlignment="1" applyProtection="1">
      <alignment vertical="center"/>
    </xf>
    <xf numFmtId="0" fontId="95" fillId="0" borderId="13" xfId="13" applyFont="1" applyFill="1" applyBorder="1" applyAlignment="1" applyProtection="1">
      <alignment vertical="center"/>
    </xf>
    <xf numFmtId="176" fontId="103" fillId="0" borderId="2" xfId="13" applyNumberFormat="1" applyFont="1" applyFill="1" applyBorder="1" applyAlignment="1" applyProtection="1">
      <alignment vertical="center"/>
    </xf>
    <xf numFmtId="0" fontId="95" fillId="0" borderId="8" xfId="13" applyFont="1" applyFill="1" applyBorder="1" applyAlignment="1" applyProtection="1">
      <alignment vertical="center"/>
    </xf>
    <xf numFmtId="0" fontId="15" fillId="0" borderId="0" xfId="0" applyFont="1" applyBorder="1" applyAlignment="1" applyProtection="1">
      <alignment horizontal="right" vertical="center"/>
    </xf>
    <xf numFmtId="0" fontId="14" fillId="0" borderId="13" xfId="0" applyFont="1" applyBorder="1" applyAlignment="1" applyProtection="1">
      <alignment vertical="center"/>
    </xf>
    <xf numFmtId="0" fontId="102" fillId="0" borderId="0" xfId="13" applyFont="1" applyFill="1" applyBorder="1" applyAlignment="1" applyProtection="1">
      <alignment horizontal="right" vertical="center"/>
    </xf>
    <xf numFmtId="0" fontId="94" fillId="0" borderId="33" xfId="0" applyFont="1" applyFill="1" applyBorder="1" applyAlignment="1" applyProtection="1">
      <alignment horizontal="center" vertical="center" wrapText="1"/>
    </xf>
    <xf numFmtId="0" fontId="94" fillId="0" borderId="13" xfId="13" applyFont="1" applyFill="1" applyBorder="1" applyAlignment="1" applyProtection="1">
      <alignment vertical="center"/>
    </xf>
    <xf numFmtId="0" fontId="15" fillId="0" borderId="13" xfId="0" applyFont="1" applyBorder="1" applyAlignment="1" applyProtection="1">
      <alignment horizontal="right" vertical="center"/>
    </xf>
    <xf numFmtId="0" fontId="95" fillId="0" borderId="97" xfId="13" applyFont="1" applyFill="1" applyBorder="1" applyAlignment="1" applyProtection="1">
      <alignment vertical="center"/>
    </xf>
    <xf numFmtId="0" fontId="6" fillId="0" borderId="3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49" fontId="5" fillId="0" borderId="37" xfId="0" applyNumberFormat="1" applyFont="1" applyFill="1" applyBorder="1" applyAlignment="1" applyProtection="1">
      <alignment horizontal="center" vertical="center"/>
    </xf>
    <xf numFmtId="182" fontId="5" fillId="0" borderId="19" xfId="0" applyNumberFormat="1" applyFont="1" applyFill="1" applyBorder="1" applyAlignment="1" applyProtection="1">
      <alignment vertical="center"/>
    </xf>
    <xf numFmtId="182" fontId="5" fillId="0" borderId="40" xfId="0" applyNumberFormat="1" applyFont="1" applyFill="1" applyBorder="1" applyAlignment="1" applyProtection="1">
      <alignment vertical="center"/>
    </xf>
    <xf numFmtId="49" fontId="17" fillId="3" borderId="19" xfId="0" applyNumberFormat="1" applyFont="1" applyFill="1" applyBorder="1" applyAlignment="1" applyProtection="1">
      <alignment vertical="center"/>
      <protection locked="0"/>
    </xf>
    <xf numFmtId="0" fontId="16" fillId="0" borderId="98" xfId="0" applyFont="1" applyBorder="1" applyAlignment="1" applyProtection="1">
      <alignment horizontal="right" vertical="center"/>
    </xf>
    <xf numFmtId="0" fontId="16" fillId="0" borderId="99" xfId="0" applyFont="1" applyFill="1" applyBorder="1" applyAlignment="1" applyProtection="1">
      <alignment horizontal="right" vertical="center"/>
    </xf>
    <xf numFmtId="0" fontId="16" fillId="0" borderId="100" xfId="0" applyFont="1" applyFill="1" applyBorder="1" applyAlignment="1" applyProtection="1">
      <alignment horizontal="right" vertical="center"/>
    </xf>
    <xf numFmtId="0" fontId="16" fillId="0" borderId="101" xfId="0" applyFont="1" applyFill="1" applyBorder="1" applyAlignment="1" applyProtection="1">
      <alignment horizontal="right" vertical="center"/>
    </xf>
    <xf numFmtId="0" fontId="16" fillId="0" borderId="101" xfId="0" applyFont="1" applyBorder="1" applyAlignment="1" applyProtection="1">
      <alignment horizontal="right" vertical="center"/>
    </xf>
    <xf numFmtId="0" fontId="16" fillId="0" borderId="100" xfId="0" applyFont="1" applyBorder="1" applyAlignment="1" applyProtection="1">
      <alignment horizontal="right" vertical="center"/>
    </xf>
    <xf numFmtId="0" fontId="16" fillId="0" borderId="102" xfId="0" applyFont="1" applyBorder="1" applyAlignment="1" applyProtection="1">
      <alignment horizontal="right" vertical="center"/>
    </xf>
    <xf numFmtId="0" fontId="16" fillId="0" borderId="103" xfId="0" applyFont="1" applyFill="1" applyBorder="1" applyAlignment="1" applyProtection="1">
      <alignment horizontal="right" vertical="center"/>
    </xf>
    <xf numFmtId="0" fontId="16" fillId="0" borderId="104" xfId="0" applyFont="1" applyFill="1" applyBorder="1" applyAlignment="1" applyProtection="1">
      <alignment horizontal="right" vertical="center"/>
    </xf>
    <xf numFmtId="0" fontId="16" fillId="0" borderId="105" xfId="0" applyFont="1" applyFill="1" applyBorder="1" applyAlignment="1" applyProtection="1">
      <alignment horizontal="right" vertical="center"/>
    </xf>
    <xf numFmtId="0" fontId="16" fillId="0" borderId="102" xfId="0" applyFont="1" applyFill="1" applyBorder="1" applyAlignment="1" applyProtection="1">
      <alignment horizontal="right" vertical="center"/>
    </xf>
    <xf numFmtId="0" fontId="25" fillId="3" borderId="81" xfId="0" applyFont="1" applyFill="1" applyBorder="1" applyAlignment="1" applyProtection="1">
      <alignment horizontal="center" vertical="center"/>
      <protection locked="0"/>
    </xf>
    <xf numFmtId="1" fontId="77" fillId="0" borderId="14" xfId="0" applyNumberFormat="1" applyFont="1" applyFill="1" applyBorder="1" applyAlignment="1" applyProtection="1">
      <alignment horizontal="left" vertical="center"/>
    </xf>
    <xf numFmtId="0" fontId="16" fillId="0" borderId="106" xfId="0" applyFont="1" applyFill="1" applyBorder="1" applyAlignment="1" applyProtection="1">
      <alignment horizontal="right" vertical="center"/>
    </xf>
    <xf numFmtId="0" fontId="16" fillId="0" borderId="107" xfId="0" applyFont="1" applyFill="1" applyBorder="1" applyAlignment="1" applyProtection="1">
      <alignment horizontal="right" vertical="center"/>
    </xf>
    <xf numFmtId="0" fontId="4" fillId="0" borderId="100" xfId="0" applyFont="1" applyFill="1" applyBorder="1" applyAlignment="1" applyProtection="1">
      <alignment horizontal="right" vertical="center"/>
    </xf>
    <xf numFmtId="0" fontId="14" fillId="0" borderId="108" xfId="0" applyFont="1" applyBorder="1" applyAlignment="1">
      <alignment horizontal="right" vertical="center"/>
    </xf>
    <xf numFmtId="0" fontId="16" fillId="0" borderId="109" xfId="0" applyFont="1" applyFill="1" applyBorder="1" applyAlignment="1" applyProtection="1">
      <alignment horizontal="right" vertical="center"/>
    </xf>
    <xf numFmtId="0" fontId="14" fillId="0" borderId="21" xfId="0" applyFont="1" applyFill="1" applyBorder="1" applyAlignment="1" applyProtection="1">
      <alignment horizontal="right" vertical="center"/>
    </xf>
    <xf numFmtId="0" fontId="25" fillId="0" borderId="45" xfId="0" applyFont="1" applyFill="1" applyBorder="1" applyAlignment="1" applyProtection="1">
      <alignment horizontal="right" vertical="center"/>
    </xf>
    <xf numFmtId="0" fontId="16" fillId="0" borderId="110" xfId="0" applyFont="1" applyFill="1" applyBorder="1" applyAlignment="1" applyProtection="1">
      <alignment horizontal="right" vertical="center"/>
    </xf>
    <xf numFmtId="0" fontId="16" fillId="0" borderId="110" xfId="0" applyFont="1" applyFill="1" applyBorder="1" applyAlignment="1" applyProtection="1">
      <alignment horizontal="right" vertical="center" wrapText="1"/>
    </xf>
    <xf numFmtId="0" fontId="16" fillId="0" borderId="110" xfId="0" applyFont="1" applyBorder="1" applyAlignment="1" applyProtection="1">
      <alignment horizontal="right" vertical="center"/>
    </xf>
    <xf numFmtId="0" fontId="16" fillId="0" borderId="111" xfId="0" applyFont="1" applyBorder="1" applyAlignment="1" applyProtection="1">
      <alignment horizontal="right" vertical="center"/>
    </xf>
    <xf numFmtId="0" fontId="16" fillId="0" borderId="112" xfId="0" applyFont="1" applyBorder="1" applyAlignment="1" applyProtection="1">
      <alignment horizontal="right" vertical="center"/>
    </xf>
    <xf numFmtId="0" fontId="16" fillId="0" borderId="113" xfId="0" applyFont="1" applyBorder="1" applyAlignment="1" applyProtection="1">
      <alignment horizontal="right" vertical="center"/>
    </xf>
    <xf numFmtId="0" fontId="16" fillId="0" borderId="114" xfId="0" applyFont="1" applyBorder="1" applyAlignment="1" applyProtection="1">
      <alignment horizontal="right" vertical="center"/>
    </xf>
    <xf numFmtId="0" fontId="104" fillId="0" borderId="24" xfId="0" applyFont="1" applyFill="1" applyBorder="1" applyAlignment="1" applyProtection="1">
      <alignment horizontal="center" vertical="center"/>
    </xf>
    <xf numFmtId="0" fontId="34" fillId="0" borderId="8" xfId="0" applyFont="1" applyBorder="1" applyAlignment="1">
      <alignment horizontal="left" vertical="center"/>
    </xf>
    <xf numFmtId="0" fontId="16" fillId="0" borderId="115" xfId="0" applyFont="1" applyBorder="1" applyAlignment="1" applyProtection="1">
      <alignment horizontal="right" vertical="center"/>
    </xf>
    <xf numFmtId="0" fontId="16" fillId="0" borderId="116" xfId="0" applyFont="1" applyFill="1" applyBorder="1" applyAlignment="1" applyProtection="1">
      <alignment horizontal="right" vertical="center"/>
    </xf>
    <xf numFmtId="0" fontId="16" fillId="0" borderId="117" xfId="0" applyFont="1" applyFill="1" applyBorder="1" applyAlignment="1" applyProtection="1">
      <alignment horizontal="right" vertical="center"/>
    </xf>
    <xf numFmtId="0" fontId="7" fillId="4" borderId="118" xfId="0" applyFont="1" applyFill="1" applyBorder="1" applyAlignment="1" applyProtection="1">
      <alignment horizontal="center" vertical="center" wrapText="1"/>
    </xf>
    <xf numFmtId="0" fontId="14" fillId="0" borderId="119" xfId="0" applyFont="1" applyBorder="1" applyAlignment="1">
      <alignment horizontal="right" vertical="center"/>
    </xf>
    <xf numFmtId="0" fontId="14" fillId="0" borderId="112" xfId="0" applyFont="1" applyBorder="1" applyAlignment="1">
      <alignment horizontal="right" vertical="center"/>
    </xf>
    <xf numFmtId="0" fontId="14" fillId="0" borderId="120" xfId="0" applyFont="1" applyBorder="1" applyAlignment="1">
      <alignment horizontal="right" vertical="center"/>
    </xf>
    <xf numFmtId="0" fontId="14" fillId="0" borderId="121" xfId="0" applyFont="1" applyBorder="1" applyAlignment="1">
      <alignment horizontal="right" vertical="center"/>
    </xf>
    <xf numFmtId="0" fontId="14" fillId="0" borderId="20" xfId="0" applyFont="1" applyBorder="1" applyAlignment="1">
      <alignment horizontal="right" vertical="center"/>
    </xf>
    <xf numFmtId="0" fontId="14" fillId="0" borderId="122" xfId="0" applyFont="1" applyBorder="1" applyAlignment="1">
      <alignment horizontal="right" vertical="center"/>
    </xf>
    <xf numFmtId="0" fontId="14" fillId="0" borderId="123" xfId="0" applyFont="1" applyBorder="1" applyAlignment="1">
      <alignment horizontal="right" vertical="center"/>
    </xf>
    <xf numFmtId="0" fontId="14" fillId="0" borderId="124" xfId="0" applyFont="1" applyBorder="1" applyAlignment="1">
      <alignment horizontal="right" vertical="center"/>
    </xf>
    <xf numFmtId="0" fontId="86" fillId="0" borderId="10" xfId="0" applyFont="1" applyBorder="1" applyAlignment="1" applyProtection="1">
      <alignment horizontal="center" vertical="center"/>
      <protection locked="0"/>
    </xf>
    <xf numFmtId="0" fontId="86" fillId="0" borderId="0" xfId="0" applyFont="1" applyBorder="1" applyAlignment="1" applyProtection="1">
      <alignment horizontal="center" vertical="center"/>
      <protection locked="0"/>
    </xf>
    <xf numFmtId="0" fontId="99" fillId="0" borderId="2" xfId="0" applyFont="1" applyBorder="1" applyAlignment="1">
      <alignment horizontal="center" vertical="center"/>
    </xf>
    <xf numFmtId="0" fontId="99" fillId="0" borderId="0" xfId="0" applyFont="1" applyBorder="1" applyAlignment="1">
      <alignment horizontal="center" vertical="center"/>
    </xf>
    <xf numFmtId="0" fontId="14" fillId="0" borderId="0" xfId="0" applyFont="1" applyBorder="1" applyAlignment="1">
      <alignment horizontal="left" vertical="center"/>
    </xf>
    <xf numFmtId="49" fontId="17" fillId="3" borderId="125" xfId="0" applyNumberFormat="1" applyFont="1" applyFill="1" applyBorder="1" applyAlignment="1" applyProtection="1">
      <alignment horizontal="left" vertical="center"/>
      <protection locked="0"/>
    </xf>
    <xf numFmtId="49" fontId="17" fillId="3" borderId="40" xfId="0" applyNumberFormat="1" applyFont="1" applyFill="1" applyBorder="1" applyAlignment="1" applyProtection="1">
      <alignment horizontal="left" vertical="center"/>
      <protection locked="0"/>
    </xf>
    <xf numFmtId="49" fontId="56" fillId="0" borderId="125" xfId="0" applyNumberFormat="1" applyFont="1" applyBorder="1" applyAlignment="1" applyProtection="1">
      <alignment horizontal="left" vertical="center"/>
    </xf>
    <xf numFmtId="49" fontId="56" fillId="0" borderId="83" xfId="0" applyNumberFormat="1" applyFont="1" applyBorder="1" applyAlignment="1" applyProtection="1">
      <alignment horizontal="left" vertical="center"/>
    </xf>
    <xf numFmtId="179" fontId="56" fillId="0" borderId="24" xfId="0" applyNumberFormat="1" applyFont="1" applyBorder="1" applyAlignment="1" applyProtection="1">
      <alignment horizontal="center" vertical="center"/>
    </xf>
    <xf numFmtId="9" fontId="105" fillId="0" borderId="118" xfId="0" applyNumberFormat="1"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68" fillId="0" borderId="0" xfId="0" applyFont="1" applyBorder="1" applyAlignment="1" applyProtection="1">
      <alignment horizontal="right" vertical="center"/>
    </xf>
    <xf numFmtId="0" fontId="64" fillId="0" borderId="10" xfId="0" applyFont="1" applyBorder="1" applyAlignment="1" applyProtection="1">
      <alignment horizontal="center" vertical="center"/>
    </xf>
    <xf numFmtId="0" fontId="90" fillId="0" borderId="0" xfId="0" applyFont="1" applyBorder="1" applyAlignment="1">
      <alignment horizontal="left" vertical="center"/>
    </xf>
    <xf numFmtId="49" fontId="14" fillId="0" borderId="8" xfId="0" applyNumberFormat="1" applyFont="1" applyBorder="1" applyAlignment="1">
      <alignment vertical="center"/>
    </xf>
    <xf numFmtId="49" fontId="16" fillId="0" borderId="0" xfId="0" applyNumberFormat="1" applyFont="1" applyFill="1" applyBorder="1" applyAlignment="1" applyProtection="1">
      <alignment horizontal="right" vertical="center"/>
    </xf>
    <xf numFmtId="49" fontId="16" fillId="0" borderId="42" xfId="0" applyNumberFormat="1" applyFont="1" applyBorder="1" applyAlignment="1">
      <alignment horizontal="right" vertical="center"/>
    </xf>
    <xf numFmtId="1" fontId="108" fillId="7" borderId="19" xfId="0" applyNumberFormat="1" applyFont="1" applyFill="1" applyBorder="1" applyAlignment="1" applyProtection="1">
      <alignment horizontal="center" vertical="center"/>
      <protection locked="0"/>
    </xf>
    <xf numFmtId="49" fontId="17" fillId="0" borderId="85" xfId="0" applyNumberFormat="1" applyFont="1" applyBorder="1" applyAlignment="1" applyProtection="1">
      <alignment horizontal="center" vertical="center"/>
    </xf>
    <xf numFmtId="0" fontId="17" fillId="0" borderId="10" xfId="0" applyFont="1" applyBorder="1" applyAlignment="1" applyProtection="1">
      <alignment horizontal="right" vertical="center"/>
    </xf>
    <xf numFmtId="173" fontId="4" fillId="7" borderId="8" xfId="0" applyNumberFormat="1" applyFont="1" applyFill="1" applyBorder="1" applyAlignment="1" applyProtection="1">
      <alignment horizontal="right" vertical="center"/>
    </xf>
    <xf numFmtId="0" fontId="7" fillId="4" borderId="118" xfId="0" applyFont="1" applyFill="1" applyBorder="1" applyAlignment="1" applyProtection="1">
      <alignment horizontal="center" vertical="top" wrapText="1"/>
    </xf>
    <xf numFmtId="175" fontId="7" fillId="8" borderId="126" xfId="0" applyNumberFormat="1" applyFont="1" applyFill="1" applyBorder="1" applyAlignment="1" applyProtection="1">
      <alignment horizontal="center" vertical="center" wrapText="1"/>
    </xf>
    <xf numFmtId="49" fontId="17" fillId="9" borderId="127" xfId="0" applyNumberFormat="1" applyFont="1" applyFill="1" applyBorder="1" applyAlignment="1" applyProtection="1">
      <alignment horizontal="left" vertical="center"/>
      <protection locked="0"/>
    </xf>
    <xf numFmtId="180" fontId="17" fillId="3" borderId="19" xfId="0" applyNumberFormat="1" applyFont="1" applyFill="1" applyBorder="1" applyAlignment="1" applyProtection="1">
      <alignment horizontal="left" vertical="center"/>
      <protection locked="0"/>
    </xf>
    <xf numFmtId="49" fontId="17" fillId="3" borderId="24" xfId="0" applyNumberFormat="1" applyFont="1" applyFill="1" applyBorder="1" applyAlignment="1" applyProtection="1">
      <alignment horizontal="left" vertical="center"/>
      <protection locked="0"/>
    </xf>
    <xf numFmtId="49" fontId="17" fillId="3" borderId="19" xfId="0" applyNumberFormat="1" applyFont="1" applyFill="1" applyBorder="1" applyAlignment="1" applyProtection="1">
      <alignment horizontal="left" vertical="center"/>
      <protection locked="0"/>
    </xf>
    <xf numFmtId="49" fontId="17" fillId="3" borderId="30" xfId="0" applyNumberFormat="1" applyFont="1" applyFill="1" applyBorder="1" applyAlignment="1" applyProtection="1">
      <alignment horizontal="left" vertical="center"/>
      <protection locked="0"/>
    </xf>
    <xf numFmtId="179" fontId="17" fillId="3" borderId="19" xfId="0" applyNumberFormat="1" applyFont="1" applyFill="1" applyBorder="1" applyAlignment="1" applyProtection="1">
      <alignment horizontal="left" vertical="center"/>
      <protection locked="0"/>
    </xf>
    <xf numFmtId="179" fontId="17" fillId="3" borderId="30" xfId="0" applyNumberFormat="1" applyFont="1" applyFill="1" applyBorder="1" applyAlignment="1" applyProtection="1">
      <alignment horizontal="left" vertical="center"/>
      <protection locked="0"/>
    </xf>
    <xf numFmtId="183" fontId="17" fillId="3" borderId="19" xfId="0" applyNumberFormat="1" applyFont="1" applyFill="1" applyBorder="1" applyAlignment="1" applyProtection="1">
      <alignment horizontal="left" vertical="center"/>
      <protection locked="0"/>
    </xf>
    <xf numFmtId="177" fontId="14" fillId="0" borderId="8" xfId="0" applyNumberFormat="1" applyFont="1" applyBorder="1" applyAlignment="1">
      <alignment horizontal="left" vertical="center"/>
    </xf>
    <xf numFmtId="0" fontId="38" fillId="2" borderId="0" xfId="0" applyFont="1" applyFill="1" applyBorder="1" applyAlignment="1" applyProtection="1">
      <alignment horizontal="left" vertical="center"/>
    </xf>
    <xf numFmtId="0" fontId="17" fillId="8" borderId="128" xfId="0" applyFont="1" applyFill="1" applyBorder="1" applyAlignment="1" applyProtection="1">
      <alignment horizontal="center" vertical="top" wrapText="1"/>
    </xf>
    <xf numFmtId="175" fontId="7" fillId="8" borderId="82" xfId="0" applyNumberFormat="1" applyFont="1" applyFill="1" applyBorder="1" applyAlignment="1" applyProtection="1">
      <alignment horizontal="center" vertical="top" wrapText="1"/>
    </xf>
    <xf numFmtId="0" fontId="47" fillId="0" borderId="13" xfId="13" applyFont="1" applyFill="1" applyBorder="1" applyAlignment="1" applyProtection="1">
      <alignment horizontal="left" vertical="center"/>
    </xf>
    <xf numFmtId="49" fontId="16" fillId="0" borderId="13" xfId="0" applyNumberFormat="1" applyFont="1" applyBorder="1" applyAlignment="1" applyProtection="1">
      <alignment vertical="center"/>
    </xf>
    <xf numFmtId="0" fontId="14" fillId="0" borderId="45" xfId="0" applyFont="1" applyBorder="1" applyAlignment="1" applyProtection="1">
      <alignment vertical="center"/>
    </xf>
    <xf numFmtId="0" fontId="14" fillId="0" borderId="0" xfId="0" applyFont="1" applyBorder="1" applyAlignment="1">
      <alignment vertical="center" wrapText="1"/>
    </xf>
    <xf numFmtId="49" fontId="34" fillId="0" borderId="0" xfId="0" applyNumberFormat="1" applyFont="1" applyBorder="1" applyAlignment="1" applyProtection="1">
      <alignment vertical="center"/>
    </xf>
    <xf numFmtId="0" fontId="34" fillId="0" borderId="0" xfId="0" applyFont="1" applyBorder="1" applyAlignment="1" applyProtection="1">
      <alignment vertical="center"/>
    </xf>
    <xf numFmtId="0" fontId="34" fillId="0" borderId="8" xfId="0" applyFont="1" applyBorder="1" applyAlignment="1" applyProtection="1">
      <alignment vertical="center"/>
    </xf>
    <xf numFmtId="177" fontId="14" fillId="0" borderId="0" xfId="0" applyNumberFormat="1" applyFont="1" applyBorder="1" applyAlignment="1" applyProtection="1">
      <alignment horizontal="left" vertical="center"/>
    </xf>
    <xf numFmtId="0" fontId="30" fillId="0" borderId="0" xfId="0" applyNumberFormat="1" applyFont="1" applyBorder="1" applyAlignment="1" applyProtection="1">
      <alignment horizontal="left" vertical="center"/>
    </xf>
    <xf numFmtId="0" fontId="7" fillId="4" borderId="129" xfId="0" applyFont="1" applyFill="1" applyBorder="1" applyAlignment="1" applyProtection="1">
      <alignment horizontal="center" vertical="top" wrapText="1"/>
    </xf>
    <xf numFmtId="0" fontId="100" fillId="4" borderId="14" xfId="0" applyFont="1" applyFill="1" applyBorder="1" applyAlignment="1" applyProtection="1">
      <alignment horizontal="center" vertical="top"/>
    </xf>
    <xf numFmtId="179" fontId="65" fillId="2" borderId="14" xfId="0" applyNumberFormat="1" applyFont="1" applyFill="1" applyBorder="1" applyAlignment="1" applyProtection="1">
      <alignment horizontal="right"/>
    </xf>
    <xf numFmtId="15" fontId="65" fillId="0" borderId="97" xfId="0" applyNumberFormat="1" applyFont="1" applyBorder="1" applyAlignment="1" applyProtection="1">
      <alignment horizontal="right"/>
    </xf>
    <xf numFmtId="177" fontId="90" fillId="0" borderId="8" xfId="0" applyNumberFormat="1" applyFont="1" applyBorder="1" applyAlignment="1">
      <alignment horizontal="right"/>
    </xf>
    <xf numFmtId="0" fontId="37" fillId="0" borderId="40" xfId="0" applyFont="1" applyBorder="1" applyAlignment="1">
      <alignment vertical="center"/>
    </xf>
    <xf numFmtId="0" fontId="0" fillId="0" borderId="2" xfId="0" applyBorder="1"/>
    <xf numFmtId="0" fontId="7" fillId="0" borderId="0" xfId="0" applyFont="1" applyBorder="1" applyAlignment="1" applyProtection="1">
      <alignment horizontal="right" vertical="center"/>
    </xf>
    <xf numFmtId="49" fontId="34" fillId="0" borderId="0" xfId="0" quotePrefix="1" applyNumberFormat="1" applyFont="1" applyFill="1" applyBorder="1" applyAlignment="1" applyProtection="1">
      <alignment horizontal="left" vertical="center" wrapText="1"/>
    </xf>
    <xf numFmtId="15" fontId="65" fillId="0" borderId="8" xfId="0" applyNumberFormat="1" applyFont="1" applyBorder="1" applyAlignment="1" applyProtection="1">
      <alignment horizontal="left" vertical="center"/>
    </xf>
    <xf numFmtId="177" fontId="32" fillId="0" borderId="40" xfId="0" applyNumberFormat="1" applyFont="1" applyBorder="1" applyAlignment="1" applyProtection="1">
      <alignment horizontal="left" vertical="center"/>
    </xf>
    <xf numFmtId="0" fontId="37" fillId="0" borderId="21" xfId="0" applyFont="1" applyBorder="1" applyAlignment="1" applyProtection="1">
      <alignment vertical="center"/>
    </xf>
    <xf numFmtId="0" fontId="14" fillId="0" borderId="11" xfId="0" applyFont="1" applyBorder="1" applyAlignment="1" applyProtection="1">
      <alignment vertical="center"/>
    </xf>
    <xf numFmtId="0" fontId="91" fillId="0" borderId="9" xfId="0" applyFont="1" applyBorder="1" applyAlignment="1" applyProtection="1">
      <alignment vertical="center"/>
    </xf>
    <xf numFmtId="0" fontId="83" fillId="0" borderId="2" xfId="0" applyFont="1" applyBorder="1" applyAlignment="1" applyProtection="1">
      <alignment vertical="center"/>
    </xf>
    <xf numFmtId="0" fontId="14" fillId="0" borderId="119" xfId="0" applyFont="1" applyBorder="1" applyAlignment="1" applyProtection="1">
      <alignment horizontal="right" vertical="center"/>
    </xf>
    <xf numFmtId="49" fontId="17" fillId="9" borderId="127" xfId="0" applyNumberFormat="1" applyFont="1" applyFill="1" applyBorder="1" applyAlignment="1" applyProtection="1">
      <alignment horizontal="left" vertical="center"/>
    </xf>
    <xf numFmtId="0" fontId="14" fillId="0" borderId="96" xfId="0" applyFont="1" applyBorder="1" applyAlignment="1" applyProtection="1">
      <alignment vertical="center"/>
    </xf>
    <xf numFmtId="0" fontId="16" fillId="0" borderId="10" xfId="0" applyFont="1" applyBorder="1" applyAlignment="1" applyProtection="1">
      <alignment horizontal="right" vertical="center"/>
    </xf>
    <xf numFmtId="0" fontId="14" fillId="0" borderId="112" xfId="0" applyFont="1" applyBorder="1" applyAlignment="1" applyProtection="1">
      <alignment horizontal="right" vertical="center"/>
    </xf>
    <xf numFmtId="180" fontId="17" fillId="3" borderId="19" xfId="0" applyNumberFormat="1" applyFont="1" applyFill="1" applyBorder="1" applyAlignment="1" applyProtection="1">
      <alignment horizontal="left" vertical="center"/>
    </xf>
    <xf numFmtId="0" fontId="14" fillId="0" borderId="53" xfId="0" applyFont="1" applyBorder="1" applyAlignment="1" applyProtection="1">
      <alignment vertical="center"/>
    </xf>
    <xf numFmtId="49" fontId="17" fillId="3" borderId="19" xfId="0" applyNumberFormat="1" applyFont="1" applyFill="1" applyBorder="1" applyAlignment="1" applyProtection="1">
      <alignment vertical="center"/>
    </xf>
    <xf numFmtId="49" fontId="14" fillId="0" borderId="8" xfId="0" applyNumberFormat="1" applyFont="1" applyBorder="1" applyAlignment="1" applyProtection="1">
      <alignment vertical="center"/>
    </xf>
    <xf numFmtId="183" fontId="17" fillId="3" borderId="19" xfId="0" applyNumberFormat="1" applyFont="1" applyFill="1" applyBorder="1" applyAlignment="1" applyProtection="1">
      <alignment horizontal="left" vertical="center"/>
    </xf>
    <xf numFmtId="49" fontId="17" fillId="3" borderId="24" xfId="0" applyNumberFormat="1" applyFont="1" applyFill="1" applyBorder="1" applyAlignment="1" applyProtection="1">
      <alignment horizontal="left" vertical="center"/>
    </xf>
    <xf numFmtId="49" fontId="16" fillId="0" borderId="8" xfId="0" applyNumberFormat="1" applyFont="1" applyFill="1" applyBorder="1" applyAlignment="1" applyProtection="1">
      <alignment vertical="center"/>
    </xf>
    <xf numFmtId="0" fontId="25" fillId="3" borderId="30" xfId="0" applyFont="1" applyFill="1" applyBorder="1" applyAlignment="1" applyProtection="1">
      <alignment horizontal="center" vertical="center"/>
    </xf>
    <xf numFmtId="0" fontId="14" fillId="0" borderId="120" xfId="0" applyFont="1" applyBorder="1" applyAlignment="1" applyProtection="1">
      <alignment horizontal="right" vertical="center"/>
    </xf>
    <xf numFmtId="49" fontId="17" fillId="3" borderId="90" xfId="0" applyNumberFormat="1" applyFont="1" applyFill="1" applyBorder="1" applyAlignment="1" applyProtection="1">
      <alignment vertical="center"/>
    </xf>
    <xf numFmtId="0" fontId="14" fillId="0" borderId="121" xfId="0" applyFont="1" applyBorder="1" applyAlignment="1" applyProtection="1">
      <alignment horizontal="right" vertical="center"/>
    </xf>
    <xf numFmtId="49" fontId="17" fillId="3" borderId="125" xfId="0" applyNumberFormat="1" applyFont="1" applyFill="1" applyBorder="1" applyAlignment="1" applyProtection="1">
      <alignment horizontal="left" vertical="center"/>
    </xf>
    <xf numFmtId="49" fontId="17" fillId="3" borderId="40" xfId="0" applyNumberFormat="1" applyFont="1" applyFill="1" applyBorder="1" applyAlignment="1" applyProtection="1">
      <alignment horizontal="left" vertical="center"/>
    </xf>
    <xf numFmtId="49" fontId="17" fillId="3" borderId="29" xfId="0" applyNumberFormat="1" applyFont="1" applyFill="1" applyBorder="1" applyAlignment="1" applyProtection="1">
      <alignment vertical="center"/>
    </xf>
    <xf numFmtId="49" fontId="16" fillId="0" borderId="42" xfId="0" applyNumberFormat="1" applyFont="1" applyBorder="1" applyAlignment="1" applyProtection="1">
      <alignment horizontal="right" vertical="center"/>
    </xf>
    <xf numFmtId="49" fontId="17" fillId="3" borderId="42" xfId="0" applyNumberFormat="1" applyFont="1" applyFill="1" applyBorder="1" applyAlignment="1" applyProtection="1">
      <alignment vertical="center"/>
    </xf>
    <xf numFmtId="49" fontId="17" fillId="3" borderId="40" xfId="0"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17" fillId="0" borderId="8" xfId="0" applyNumberFormat="1" applyFont="1" applyFill="1" applyBorder="1" applyAlignment="1" applyProtection="1">
      <alignment vertical="center"/>
    </xf>
    <xf numFmtId="49" fontId="17" fillId="3" borderId="19" xfId="0" applyNumberFormat="1" applyFont="1" applyFill="1" applyBorder="1" applyAlignment="1" applyProtection="1">
      <alignment horizontal="left" vertical="center"/>
    </xf>
    <xf numFmtId="49" fontId="17" fillId="3" borderId="30" xfId="0" applyNumberFormat="1" applyFont="1" applyFill="1" applyBorder="1" applyAlignment="1" applyProtection="1">
      <alignment horizontal="left" vertical="center"/>
    </xf>
    <xf numFmtId="179" fontId="17" fillId="3" borderId="19" xfId="0" applyNumberFormat="1" applyFont="1" applyFill="1" applyBorder="1" applyAlignment="1" applyProtection="1">
      <alignment horizontal="left" vertical="center"/>
    </xf>
    <xf numFmtId="0" fontId="25" fillId="3" borderId="81" xfId="0" applyFont="1" applyFill="1" applyBorder="1" applyAlignment="1" applyProtection="1">
      <alignment horizontal="center" vertical="center"/>
    </xf>
    <xf numFmtId="0" fontId="14" fillId="0" borderId="20" xfId="0" applyFont="1" applyBorder="1" applyAlignment="1" applyProtection="1">
      <alignment horizontal="right" vertical="center"/>
    </xf>
    <xf numFmtId="1" fontId="108" fillId="7" borderId="19" xfId="0" applyNumberFormat="1" applyFont="1" applyFill="1" applyBorder="1" applyAlignment="1" applyProtection="1">
      <alignment horizontal="center" vertical="center"/>
    </xf>
    <xf numFmtId="0" fontId="14" fillId="0" borderId="122" xfId="0" applyFont="1" applyBorder="1" applyAlignment="1" applyProtection="1">
      <alignment horizontal="right" vertical="center"/>
    </xf>
    <xf numFmtId="179" fontId="17" fillId="3" borderId="30" xfId="0" applyNumberFormat="1" applyFont="1" applyFill="1" applyBorder="1" applyAlignment="1" applyProtection="1">
      <alignment horizontal="left" vertical="center"/>
    </xf>
    <xf numFmtId="0" fontId="14" fillId="0" borderId="123" xfId="0" applyFont="1" applyBorder="1" applyAlignment="1" applyProtection="1">
      <alignment horizontal="right" vertical="center"/>
    </xf>
    <xf numFmtId="0" fontId="14" fillId="0" borderId="108" xfId="0" applyFont="1" applyBorder="1" applyAlignment="1" applyProtection="1">
      <alignment horizontal="right" vertical="center"/>
    </xf>
    <xf numFmtId="0" fontId="25" fillId="3" borderId="52" xfId="0" applyFont="1" applyFill="1" applyBorder="1" applyAlignment="1" applyProtection="1">
      <alignment horizontal="center" vertical="center"/>
    </xf>
    <xf numFmtId="0" fontId="14" fillId="0" borderId="124" xfId="0" applyFont="1" applyBorder="1" applyAlignment="1" applyProtection="1">
      <alignment horizontal="right" vertical="center"/>
    </xf>
    <xf numFmtId="0" fontId="25" fillId="3" borderId="55" xfId="0" applyFont="1" applyFill="1" applyBorder="1" applyAlignment="1" applyProtection="1">
      <alignment horizontal="center" vertical="center"/>
    </xf>
    <xf numFmtId="0" fontId="25" fillId="3" borderId="79" xfId="0" applyFont="1" applyFill="1" applyBorder="1" applyAlignment="1" applyProtection="1">
      <alignment horizontal="center" vertical="center"/>
    </xf>
    <xf numFmtId="0" fontId="25" fillId="3" borderId="56"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173" fontId="7" fillId="7" borderId="6" xfId="0" applyNumberFormat="1" applyFont="1" applyFill="1" applyBorder="1" applyAlignment="1" applyProtection="1">
      <alignment horizontal="right" vertical="center"/>
    </xf>
    <xf numFmtId="10" fontId="19" fillId="0" borderId="55" xfId="0" applyNumberFormat="1" applyFont="1" applyFill="1" applyBorder="1" applyAlignment="1">
      <alignment horizontal="right"/>
    </xf>
    <xf numFmtId="10" fontId="19" fillId="0" borderId="56" xfId="15" applyNumberFormat="1" applyFont="1" applyFill="1" applyBorder="1"/>
    <xf numFmtId="10" fontId="19" fillId="0" borderId="130" xfId="15" applyNumberFormat="1" applyFont="1" applyBorder="1"/>
    <xf numFmtId="10" fontId="19" fillId="0" borderId="55" xfId="15" applyNumberFormat="1" applyFont="1" applyFill="1" applyBorder="1"/>
    <xf numFmtId="10" fontId="19" fillId="0" borderId="56" xfId="15" applyNumberFormat="1" applyFont="1" applyBorder="1"/>
    <xf numFmtId="176" fontId="101" fillId="3" borderId="2" xfId="13" applyNumberFormat="1" applyFont="1" applyFill="1" applyBorder="1" applyAlignment="1" applyProtection="1">
      <alignment vertical="center"/>
      <protection locked="0"/>
    </xf>
    <xf numFmtId="176" fontId="101" fillId="3" borderId="0" xfId="13" applyNumberFormat="1" applyFont="1" applyFill="1" applyBorder="1" applyAlignment="1" applyProtection="1">
      <alignment vertical="center"/>
      <protection locked="0"/>
    </xf>
    <xf numFmtId="0" fontId="95" fillId="3" borderId="0" xfId="13" applyFont="1" applyFill="1" applyBorder="1" applyAlignment="1" applyProtection="1">
      <alignment vertical="center"/>
      <protection locked="0"/>
    </xf>
    <xf numFmtId="0" fontId="102" fillId="3" borderId="0" xfId="13" applyFont="1" applyFill="1" applyBorder="1" applyAlignment="1" applyProtection="1">
      <alignment vertical="center"/>
      <protection locked="0"/>
    </xf>
    <xf numFmtId="176" fontId="95" fillId="3" borderId="0" xfId="13" applyNumberFormat="1" applyFont="1" applyFill="1" applyBorder="1" applyAlignment="1" applyProtection="1">
      <alignment vertical="center"/>
      <protection locked="0"/>
    </xf>
    <xf numFmtId="0" fontId="28" fillId="3" borderId="0" xfId="0" applyFont="1" applyFill="1" applyBorder="1" applyAlignment="1" applyProtection="1">
      <alignment horizontal="right" vertical="center"/>
      <protection locked="0"/>
    </xf>
    <xf numFmtId="0" fontId="15"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3" fontId="41" fillId="3" borderId="8" xfId="0" applyNumberFormat="1" applyFont="1" applyFill="1" applyBorder="1" applyAlignment="1" applyProtection="1">
      <alignment vertical="center"/>
      <protection locked="0"/>
    </xf>
    <xf numFmtId="176" fontId="6" fillId="3" borderId="2" xfId="13" applyNumberFormat="1" applyFont="1" applyFill="1" applyBorder="1" applyAlignment="1" applyProtection="1">
      <alignment horizontal="left" vertical="center"/>
      <protection locked="0"/>
    </xf>
    <xf numFmtId="176" fontId="101" fillId="3" borderId="0" xfId="13" applyNumberFormat="1" applyFont="1" applyFill="1" applyBorder="1" applyAlignment="1" applyProtection="1">
      <alignment horizontal="left" vertical="center"/>
      <protection locked="0"/>
    </xf>
    <xf numFmtId="0" fontId="65" fillId="3" borderId="2" xfId="13" applyFont="1" applyFill="1" applyBorder="1" applyAlignment="1" applyProtection="1">
      <alignment vertical="center"/>
      <protection locked="0"/>
    </xf>
    <xf numFmtId="176" fontId="103" fillId="3" borderId="0" xfId="13" applyNumberFormat="1" applyFont="1" applyFill="1" applyBorder="1" applyAlignment="1" applyProtection="1">
      <alignment horizontal="right" vertical="center"/>
      <protection locked="0"/>
    </xf>
    <xf numFmtId="9" fontId="95" fillId="3" borderId="13" xfId="13" applyNumberFormat="1" applyFont="1" applyFill="1" applyBorder="1" applyAlignment="1" applyProtection="1">
      <alignment vertical="center"/>
      <protection locked="0"/>
    </xf>
    <xf numFmtId="0" fontId="95" fillId="3" borderId="13"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95" fillId="3" borderId="0" xfId="13" applyNumberFormat="1" applyFont="1" applyFill="1" applyBorder="1" applyAlignment="1" applyProtection="1">
      <alignment vertical="center"/>
      <protection locked="0"/>
    </xf>
    <xf numFmtId="39" fontId="95" fillId="3" borderId="13" xfId="13" applyNumberFormat="1" applyFont="1" applyFill="1" applyBorder="1" applyAlignment="1" applyProtection="1">
      <alignment vertical="center"/>
      <protection locked="0"/>
    </xf>
    <xf numFmtId="176" fontId="101" fillId="3" borderId="7" xfId="13" applyNumberFormat="1" applyFont="1" applyFill="1" applyBorder="1" applyAlignment="1" applyProtection="1">
      <alignment vertical="center"/>
      <protection locked="0"/>
    </xf>
    <xf numFmtId="176"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6" fontId="5" fillId="3" borderId="6" xfId="13" applyNumberFormat="1" applyFont="1" applyFill="1" applyBorder="1" applyAlignment="1" applyProtection="1">
      <alignment vertical="center"/>
      <protection locked="0"/>
    </xf>
    <xf numFmtId="0" fontId="28" fillId="3" borderId="6" xfId="0" applyFont="1" applyFill="1" applyBorder="1" applyAlignment="1" applyProtection="1">
      <alignment horizontal="right" vertical="center"/>
      <protection locked="0"/>
    </xf>
    <xf numFmtId="0" fontId="15"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3" fontId="41" fillId="3" borderId="14" xfId="0" applyNumberFormat="1" applyFont="1" applyFill="1" applyBorder="1" applyAlignment="1" applyProtection="1">
      <alignment vertical="center"/>
      <protection locked="0"/>
    </xf>
    <xf numFmtId="176" fontId="103" fillId="3" borderId="2" xfId="13" applyNumberFormat="1" applyFont="1" applyFill="1" applyBorder="1" applyAlignment="1" applyProtection="1">
      <alignment vertical="center"/>
      <protection locked="0"/>
    </xf>
    <xf numFmtId="0" fontId="49" fillId="3" borderId="0" xfId="0" applyFont="1" applyFill="1" applyBorder="1" applyAlignment="1" applyProtection="1">
      <alignment vertical="center"/>
      <protection locked="0"/>
    </xf>
    <xf numFmtId="176" fontId="95" fillId="3" borderId="8" xfId="13" applyNumberFormat="1" applyFont="1" applyFill="1" applyBorder="1" applyAlignment="1" applyProtection="1">
      <alignment vertical="center"/>
      <protection locked="0"/>
    </xf>
    <xf numFmtId="176" fontId="6" fillId="3" borderId="2" xfId="13" applyNumberFormat="1" applyFont="1" applyFill="1" applyBorder="1" applyAlignment="1" applyProtection="1">
      <alignment horizontal="right" vertical="center"/>
      <protection locked="0"/>
    </xf>
    <xf numFmtId="0" fontId="95" fillId="3" borderId="8" xfId="13" applyFont="1" applyFill="1" applyBorder="1" applyAlignment="1" applyProtection="1">
      <alignment vertical="center"/>
      <protection locked="0"/>
    </xf>
    <xf numFmtId="0" fontId="14" fillId="3" borderId="13" xfId="0" applyFont="1" applyFill="1" applyBorder="1" applyAlignment="1" applyProtection="1">
      <alignment vertical="center"/>
      <protection locked="0"/>
    </xf>
    <xf numFmtId="0" fontId="41" fillId="3" borderId="0" xfId="0" applyFont="1" applyFill="1" applyBorder="1" applyAlignment="1" applyProtection="1">
      <alignment vertical="center"/>
      <protection locked="0"/>
    </xf>
    <xf numFmtId="0" fontId="41" fillId="3" borderId="13" xfId="0" applyFont="1" applyFill="1" applyBorder="1" applyAlignment="1" applyProtection="1">
      <alignment horizontal="right" vertical="center"/>
      <protection locked="0"/>
    </xf>
    <xf numFmtId="39" fontId="95" fillId="3" borderId="8" xfId="13" applyNumberFormat="1" applyFont="1" applyFill="1" applyBorder="1" applyAlignment="1" applyProtection="1">
      <alignment vertical="center"/>
      <protection locked="0"/>
    </xf>
    <xf numFmtId="176" fontId="103" fillId="3" borderId="2" xfId="13" applyNumberFormat="1" applyFont="1" applyFill="1" applyBorder="1" applyAlignment="1" applyProtection="1">
      <alignment horizontal="left" vertical="center"/>
      <protection locked="0"/>
    </xf>
    <xf numFmtId="176" fontId="103" fillId="3" borderId="0" xfId="13" applyNumberFormat="1" applyFont="1" applyFill="1" applyBorder="1" applyAlignment="1" applyProtection="1">
      <alignment horizontal="left" vertical="center"/>
      <protection locked="0"/>
    </xf>
    <xf numFmtId="9" fontId="95" fillId="3" borderId="0" xfId="13" applyNumberFormat="1" applyFont="1" applyFill="1" applyBorder="1" applyAlignment="1" applyProtection="1">
      <alignment vertical="center"/>
      <protection locked="0"/>
    </xf>
    <xf numFmtId="0" fontId="49" fillId="3" borderId="0" xfId="0" applyFont="1" applyFill="1" applyBorder="1" applyAlignment="1" applyProtection="1">
      <alignment horizontal="right" vertical="center"/>
      <protection locked="0"/>
    </xf>
    <xf numFmtId="0" fontId="102" fillId="3" borderId="7" xfId="13" applyFont="1" applyFill="1" applyBorder="1" applyAlignment="1" applyProtection="1">
      <alignment horizontal="right" vertical="center"/>
      <protection locked="0"/>
    </xf>
    <xf numFmtId="1" fontId="28" fillId="0" borderId="30" xfId="0" applyNumberFormat="1" applyFont="1" applyFill="1" applyBorder="1" applyAlignment="1" applyProtection="1">
      <alignment horizontal="center" vertical="center"/>
    </xf>
    <xf numFmtId="0" fontId="107" fillId="10" borderId="78" xfId="0" applyFont="1" applyFill="1" applyBorder="1" applyAlignment="1" applyProtection="1">
      <alignment horizontal="left" vertical="center"/>
    </xf>
    <xf numFmtId="0" fontId="5" fillId="10" borderId="62" xfId="0" applyFont="1" applyFill="1" applyBorder="1" applyAlignment="1" applyProtection="1">
      <alignment vertical="center"/>
    </xf>
    <xf numFmtId="0" fontId="72" fillId="10" borderId="62" xfId="0" applyFont="1" applyFill="1" applyBorder="1" applyAlignment="1" applyProtection="1">
      <alignment vertical="center"/>
    </xf>
    <xf numFmtId="0" fontId="14" fillId="10" borderId="62" xfId="0" applyFont="1" applyFill="1" applyBorder="1" applyAlignment="1" applyProtection="1">
      <alignment vertical="center"/>
    </xf>
    <xf numFmtId="0" fontId="71" fillId="10" borderId="62" xfId="0" applyFont="1" applyFill="1" applyBorder="1" applyAlignment="1" applyProtection="1">
      <alignment vertical="center"/>
    </xf>
    <xf numFmtId="0" fontId="49" fillId="10" borderId="62" xfId="0" applyFont="1" applyFill="1" applyBorder="1" applyAlignment="1" applyProtection="1">
      <alignment vertical="center"/>
    </xf>
    <xf numFmtId="0" fontId="82" fillId="10" borderId="62" xfId="0" applyFont="1" applyFill="1" applyBorder="1" applyAlignment="1" applyProtection="1">
      <alignment horizontal="right" vertical="center"/>
    </xf>
    <xf numFmtId="9" fontId="105" fillId="10" borderId="62" xfId="0" applyNumberFormat="1" applyFont="1" applyFill="1" applyBorder="1" applyAlignment="1" applyProtection="1">
      <alignment horizontal="center" vertical="center"/>
    </xf>
    <xf numFmtId="0" fontId="28" fillId="10" borderId="62" xfId="0" applyFont="1" applyFill="1" applyBorder="1" applyAlignment="1" applyProtection="1">
      <alignment horizontal="center" vertical="center"/>
    </xf>
    <xf numFmtId="0" fontId="67" fillId="10" borderId="16" xfId="0" applyFont="1" applyFill="1" applyBorder="1" applyAlignment="1" applyProtection="1">
      <alignment vertical="center"/>
    </xf>
    <xf numFmtId="0" fontId="14" fillId="10" borderId="0" xfId="0" applyFont="1" applyFill="1" applyBorder="1" applyAlignment="1" applyProtection="1">
      <alignment vertical="center"/>
    </xf>
    <xf numFmtId="0" fontId="14" fillId="10" borderId="8" xfId="0" applyFont="1" applyFill="1" applyBorder="1" applyAlignment="1" applyProtection="1">
      <alignment vertical="center"/>
    </xf>
    <xf numFmtId="49" fontId="5" fillId="0" borderId="89" xfId="0" applyNumberFormat="1" applyFont="1" applyFill="1" applyBorder="1" applyAlignment="1" applyProtection="1">
      <alignment horizontal="center" vertical="center"/>
    </xf>
    <xf numFmtId="182" fontId="19" fillId="3" borderId="131" xfId="0" applyNumberFormat="1" applyFont="1" applyFill="1" applyBorder="1" applyAlignment="1" applyProtection="1">
      <alignment vertical="center"/>
      <protection locked="0"/>
    </xf>
    <xf numFmtId="182" fontId="5" fillId="0" borderId="132" xfId="0" applyNumberFormat="1" applyFont="1" applyFill="1" applyBorder="1" applyAlignment="1" applyProtection="1">
      <alignment vertical="center"/>
    </xf>
    <xf numFmtId="167" fontId="5" fillId="0" borderId="0" xfId="0" applyNumberFormat="1" applyFont="1" applyFill="1" applyBorder="1" applyAlignment="1" applyProtection="1">
      <alignment horizontal="right" vertical="center"/>
    </xf>
    <xf numFmtId="0" fontId="7" fillId="0" borderId="35" xfId="0" applyFont="1" applyBorder="1" applyAlignment="1" applyProtection="1">
      <alignment horizontal="center" wrapText="1"/>
    </xf>
    <xf numFmtId="0" fontId="7" fillId="0" borderId="126" xfId="0" applyFont="1" applyBorder="1" applyAlignment="1" applyProtection="1">
      <alignment horizontal="center" wrapText="1"/>
    </xf>
    <xf numFmtId="0" fontId="7" fillId="0" borderId="45" xfId="0" applyFont="1" applyBorder="1" applyAlignment="1">
      <alignment horizontal="right" vertical="center"/>
    </xf>
    <xf numFmtId="0" fontId="22" fillId="0" borderId="85" xfId="0" applyFont="1" applyBorder="1" applyAlignment="1">
      <alignment horizontal="right" vertical="center"/>
    </xf>
    <xf numFmtId="0" fontId="7" fillId="0" borderId="72" xfId="0" applyFont="1" applyBorder="1" applyAlignment="1">
      <alignment horizontal="right" vertical="center"/>
    </xf>
    <xf numFmtId="0" fontId="47" fillId="0" borderId="0"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17" fillId="0" borderId="1" xfId="0" applyFont="1" applyBorder="1" applyAlignment="1" applyProtection="1">
      <alignment horizontal="right" vertical="center"/>
    </xf>
    <xf numFmtId="2" fontId="5" fillId="0" borderId="19" xfId="0" applyNumberFormat="1" applyFont="1" applyFill="1" applyBorder="1" applyAlignment="1" applyProtection="1">
      <alignment vertical="center"/>
    </xf>
    <xf numFmtId="173" fontId="14" fillId="0" borderId="0" xfId="0" applyNumberFormat="1" applyFont="1" applyBorder="1" applyAlignment="1">
      <alignment vertical="center"/>
    </xf>
    <xf numFmtId="173" fontId="113" fillId="0" borderId="0" xfId="0" applyNumberFormat="1" applyFont="1"/>
    <xf numFmtId="175" fontId="15" fillId="0" borderId="0" xfId="0" applyNumberFormat="1" applyFont="1" applyFill="1" applyBorder="1" applyAlignment="1" applyProtection="1">
      <alignment horizontal="right" vertical="center"/>
    </xf>
    <xf numFmtId="173" fontId="47" fillId="0" borderId="0" xfId="0" applyNumberFormat="1" applyFont="1" applyFill="1" applyBorder="1" applyAlignment="1" applyProtection="1">
      <alignment horizontal="right" vertical="center"/>
    </xf>
    <xf numFmtId="0" fontId="17" fillId="0" borderId="0" xfId="0" applyFont="1" applyAlignment="1">
      <alignment horizontal="right" vertical="center"/>
    </xf>
    <xf numFmtId="168" fontId="5" fillId="0" borderId="1" xfId="0" applyNumberFormat="1" applyFont="1" applyFill="1" applyBorder="1" applyAlignment="1" applyProtection="1">
      <alignment horizontal="right" vertical="center"/>
    </xf>
    <xf numFmtId="0" fontId="47" fillId="0" borderId="1" xfId="0" applyFont="1" applyFill="1" applyBorder="1" applyAlignment="1" applyProtection="1">
      <alignment horizontal="right" vertical="center"/>
    </xf>
    <xf numFmtId="0" fontId="17" fillId="0" borderId="9" xfId="0" applyFont="1" applyBorder="1" applyAlignment="1">
      <alignment horizontal="right" vertical="center"/>
    </xf>
    <xf numFmtId="0" fontId="6" fillId="3" borderId="2" xfId="13" applyFont="1" applyFill="1" applyBorder="1" applyAlignment="1" applyProtection="1">
      <alignment horizontal="right" vertical="center"/>
      <protection locked="0"/>
    </xf>
    <xf numFmtId="0" fontId="102" fillId="3" borderId="33" xfId="13" applyFont="1" applyFill="1" applyBorder="1" applyAlignment="1" applyProtection="1">
      <alignment horizontal="right" vertical="center"/>
      <protection locked="0"/>
    </xf>
    <xf numFmtId="0" fontId="101" fillId="3" borderId="13" xfId="13" applyFont="1" applyFill="1" applyBorder="1" applyAlignment="1" applyProtection="1">
      <alignment horizontal="right" vertical="center"/>
      <protection locked="0"/>
    </xf>
    <xf numFmtId="0" fontId="49" fillId="3" borderId="13" xfId="0" applyFont="1" applyFill="1" applyBorder="1" applyAlignment="1" applyProtection="1">
      <alignment vertical="center"/>
      <protection locked="0"/>
    </xf>
    <xf numFmtId="0" fontId="49" fillId="3" borderId="13" xfId="0" applyFont="1" applyFill="1" applyBorder="1" applyAlignment="1" applyProtection="1">
      <alignment horizontal="right" vertical="center"/>
      <protection locked="0"/>
    </xf>
    <xf numFmtId="0" fontId="95" fillId="3" borderId="97" xfId="13" applyFont="1" applyFill="1" applyBorder="1" applyAlignment="1" applyProtection="1">
      <alignment vertical="center"/>
      <protection locked="0"/>
    </xf>
    <xf numFmtId="166" fontId="20" fillId="3" borderId="24" xfId="0" applyNumberFormat="1" applyFont="1" applyFill="1" applyBorder="1" applyAlignment="1" applyProtection="1">
      <alignment vertical="center"/>
      <protection locked="0"/>
    </xf>
    <xf numFmtId="166" fontId="4" fillId="0" borderId="83" xfId="1" applyNumberFormat="1" applyFont="1" applyBorder="1" applyAlignment="1">
      <alignment vertical="center"/>
    </xf>
    <xf numFmtId="166" fontId="20" fillId="3" borderId="27" xfId="0" applyNumberFormat="1" applyFont="1" applyFill="1" applyBorder="1" applyAlignment="1" applyProtection="1">
      <alignment vertical="center"/>
      <protection locked="0"/>
    </xf>
    <xf numFmtId="166" fontId="4" fillId="0" borderId="133" xfId="1" applyNumberFormat="1" applyFont="1" applyBorder="1" applyAlignment="1">
      <alignment vertical="center"/>
    </xf>
    <xf numFmtId="166" fontId="20" fillId="3" borderId="64" xfId="0" applyNumberFormat="1" applyFont="1" applyFill="1" applyBorder="1" applyAlignment="1" applyProtection="1">
      <alignment vertical="center"/>
      <protection locked="0"/>
    </xf>
    <xf numFmtId="166" fontId="17" fillId="3" borderId="51" xfId="0" applyNumberFormat="1" applyFont="1" applyFill="1" applyBorder="1" applyAlignment="1">
      <alignment horizontal="right" vertical="center"/>
    </xf>
    <xf numFmtId="166" fontId="4" fillId="0" borderId="134" xfId="1" applyNumberFormat="1" applyFont="1" applyBorder="1" applyAlignment="1">
      <alignment vertical="center"/>
    </xf>
    <xf numFmtId="166" fontId="17" fillId="0" borderId="47" xfId="0" applyNumberFormat="1" applyFont="1" applyBorder="1" applyAlignment="1">
      <alignment horizontal="right" vertical="center"/>
    </xf>
    <xf numFmtId="166" fontId="7" fillId="0" borderId="125" xfId="1" applyNumberFormat="1" applyFont="1" applyBorder="1" applyAlignment="1">
      <alignment vertical="center"/>
    </xf>
    <xf numFmtId="166" fontId="7" fillId="0" borderId="0" xfId="0" applyNumberFormat="1" applyFont="1" applyBorder="1" applyAlignment="1">
      <alignment horizontal="right" vertical="center"/>
    </xf>
    <xf numFmtId="166" fontId="4" fillId="7" borderId="40" xfId="1" applyNumberFormat="1" applyFont="1" applyFill="1" applyBorder="1" applyAlignment="1">
      <alignment vertical="center"/>
    </xf>
    <xf numFmtId="166" fontId="16" fillId="0" borderId="62" xfId="0" applyNumberFormat="1" applyFont="1" applyBorder="1" applyAlignment="1">
      <alignment vertical="center"/>
    </xf>
    <xf numFmtId="166" fontId="4" fillId="0" borderId="62" xfId="0" applyNumberFormat="1" applyFont="1" applyBorder="1" applyAlignment="1">
      <alignment vertical="center"/>
    </xf>
    <xf numFmtId="166" fontId="16" fillId="0" borderId="17" xfId="0" applyNumberFormat="1" applyFont="1" applyBorder="1" applyAlignment="1">
      <alignment vertical="center"/>
    </xf>
    <xf numFmtId="166" fontId="4" fillId="0" borderId="18" xfId="0" applyNumberFormat="1" applyFont="1" applyBorder="1" applyAlignment="1">
      <alignment vertical="center"/>
    </xf>
    <xf numFmtId="166" fontId="20" fillId="3" borderId="24" xfId="0" applyNumberFormat="1" applyFont="1" applyFill="1" applyBorder="1" applyProtection="1">
      <protection locked="0"/>
    </xf>
    <xf numFmtId="166" fontId="20" fillId="3" borderId="30" xfId="0" applyNumberFormat="1" applyFont="1" applyFill="1" applyBorder="1" applyAlignment="1" applyProtection="1">
      <alignment vertical="center"/>
      <protection locked="0"/>
    </xf>
    <xf numFmtId="166" fontId="17" fillId="0" borderId="62" xfId="0" applyNumberFormat="1" applyFont="1" applyBorder="1" applyAlignment="1">
      <alignment horizontal="right" vertical="center"/>
    </xf>
    <xf numFmtId="166" fontId="4" fillId="0" borderId="62" xfId="1" applyNumberFormat="1" applyFont="1" applyBorder="1" applyAlignment="1">
      <alignment vertical="center"/>
    </xf>
    <xf numFmtId="166" fontId="73" fillId="7" borderId="40" xfId="1" applyNumberFormat="1" applyFont="1" applyFill="1" applyBorder="1" applyAlignment="1">
      <alignment vertical="center"/>
    </xf>
    <xf numFmtId="166" fontId="16" fillId="0" borderId="21" xfId="0" applyNumberFormat="1" applyFont="1" applyBorder="1" applyAlignment="1">
      <alignment vertical="center"/>
    </xf>
    <xf numFmtId="166" fontId="4" fillId="0" borderId="43" xfId="0" applyNumberFormat="1" applyFont="1" applyBorder="1" applyAlignment="1">
      <alignment vertical="center"/>
    </xf>
    <xf numFmtId="166" fontId="17" fillId="0" borderId="88" xfId="0" applyNumberFormat="1" applyFont="1" applyBorder="1" applyAlignment="1">
      <alignment horizontal="right" vertical="center"/>
    </xf>
    <xf numFmtId="166" fontId="7" fillId="0" borderId="135" xfId="0" applyNumberFormat="1" applyFont="1" applyBorder="1" applyAlignment="1">
      <alignment vertical="center"/>
    </xf>
    <xf numFmtId="166" fontId="7" fillId="0" borderId="1" xfId="0" applyNumberFormat="1" applyFont="1" applyBorder="1" applyAlignment="1">
      <alignment horizontal="right" vertical="center"/>
    </xf>
    <xf numFmtId="166" fontId="4" fillId="0" borderId="136" xfId="1" applyNumberFormat="1" applyFont="1" applyFill="1" applyBorder="1" applyAlignment="1">
      <alignment vertical="center"/>
    </xf>
    <xf numFmtId="184" fontId="20" fillId="3" borderId="24" xfId="0" applyNumberFormat="1" applyFont="1" applyFill="1" applyBorder="1" applyAlignment="1" applyProtection="1">
      <alignment vertical="center"/>
      <protection locked="0"/>
    </xf>
    <xf numFmtId="184" fontId="20" fillId="3" borderId="27" xfId="0" applyNumberFormat="1" applyFont="1" applyFill="1" applyBorder="1" applyAlignment="1" applyProtection="1">
      <alignment vertical="center"/>
      <protection locked="0"/>
    </xf>
    <xf numFmtId="184" fontId="20" fillId="3" borderId="30" xfId="0" applyNumberFormat="1" applyFont="1" applyFill="1" applyBorder="1" applyAlignment="1" applyProtection="1">
      <alignment vertical="center"/>
      <protection locked="0"/>
    </xf>
    <xf numFmtId="184" fontId="17" fillId="0" borderId="32" xfId="0" applyNumberFormat="1" applyFont="1" applyBorder="1" applyAlignment="1">
      <alignment horizontal="right" vertical="center"/>
    </xf>
    <xf numFmtId="184" fontId="16" fillId="0" borderId="6" xfId="0" applyNumberFormat="1" applyFont="1" applyBorder="1" applyAlignment="1">
      <alignment vertical="center"/>
    </xf>
    <xf numFmtId="184" fontId="16" fillId="0" borderId="62" xfId="0" applyNumberFormat="1" applyFont="1" applyBorder="1" applyAlignment="1">
      <alignment vertical="center"/>
    </xf>
    <xf numFmtId="184" fontId="16" fillId="0" borderId="17" xfId="0" applyNumberFormat="1" applyFont="1" applyBorder="1" applyAlignment="1">
      <alignment vertical="center"/>
    </xf>
    <xf numFmtId="184" fontId="20" fillId="3" borderId="24" xfId="0" applyNumberFormat="1" applyFont="1" applyFill="1" applyBorder="1" applyProtection="1">
      <protection locked="0"/>
    </xf>
    <xf numFmtId="184" fontId="17" fillId="0" borderId="6" xfId="0" applyNumberFormat="1" applyFont="1" applyBorder="1" applyAlignment="1">
      <alignment horizontal="right" vertical="center"/>
    </xf>
    <xf numFmtId="184" fontId="17" fillId="0" borderId="62" xfId="0" applyNumberFormat="1" applyFont="1" applyBorder="1" applyAlignment="1">
      <alignment horizontal="right" vertical="center"/>
    </xf>
    <xf numFmtId="184" fontId="17" fillId="0" borderId="13" xfId="0" applyNumberFormat="1" applyFont="1" applyBorder="1" applyAlignment="1">
      <alignment horizontal="right" vertical="center"/>
    </xf>
    <xf numFmtId="184" fontId="16" fillId="0" borderId="21" xfId="0" applyNumberFormat="1" applyFont="1" applyBorder="1" applyAlignment="1">
      <alignment vertical="center"/>
    </xf>
    <xf numFmtId="0" fontId="17" fillId="0" borderId="28" xfId="0" applyFont="1" applyBorder="1" applyAlignment="1">
      <alignment horizontal="center" vertical="center"/>
    </xf>
    <xf numFmtId="0" fontId="17" fillId="0" borderId="42" xfId="0" applyFont="1" applyBorder="1" applyAlignment="1">
      <alignment horizontal="center"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166" fontId="17" fillId="0" borderId="30" xfId="0" applyNumberFormat="1" applyFont="1" applyBorder="1" applyAlignment="1">
      <alignment horizontal="center" vertical="center"/>
    </xf>
    <xf numFmtId="166" fontId="17" fillId="0" borderId="125" xfId="0" applyNumberFormat="1" applyFont="1" applyBorder="1" applyAlignment="1">
      <alignment horizontal="center" vertical="center" wrapText="1"/>
    </xf>
    <xf numFmtId="166" fontId="19" fillId="3" borderId="24" xfId="0" applyNumberFormat="1" applyFont="1" applyFill="1" applyBorder="1" applyProtection="1">
      <protection locked="0"/>
    </xf>
    <xf numFmtId="166" fontId="19" fillId="3" borderId="27" xfId="0" applyNumberFormat="1" applyFont="1" applyFill="1" applyBorder="1" applyAlignment="1" applyProtection="1">
      <alignment vertical="center"/>
      <protection locked="0"/>
    </xf>
    <xf numFmtId="166" fontId="19" fillId="3" borderId="64" xfId="0" applyNumberFormat="1" applyFont="1" applyFill="1" applyBorder="1" applyAlignment="1" applyProtection="1">
      <alignment vertical="center"/>
      <protection locked="0"/>
    </xf>
    <xf numFmtId="166" fontId="4" fillId="0" borderId="137" xfId="1" applyNumberFormat="1" applyFont="1" applyBorder="1" applyAlignment="1">
      <alignment vertical="center"/>
    </xf>
    <xf numFmtId="166" fontId="7" fillId="0" borderId="47" xfId="0" applyNumberFormat="1" applyFont="1" applyBorder="1" applyAlignment="1">
      <alignment horizontal="right" vertical="center"/>
    </xf>
    <xf numFmtId="166" fontId="7" fillId="0" borderId="135" xfId="1" applyNumberFormat="1" applyFont="1" applyBorder="1" applyAlignment="1">
      <alignment vertical="center"/>
    </xf>
    <xf numFmtId="166" fontId="7" fillId="0" borderId="6" xfId="0" applyNumberFormat="1" applyFont="1" applyBorder="1" applyAlignment="1">
      <alignment horizontal="right" vertical="center"/>
    </xf>
    <xf numFmtId="166" fontId="73" fillId="3" borderId="14" xfId="0" applyNumberFormat="1" applyFont="1" applyFill="1" applyBorder="1" applyAlignment="1">
      <alignment vertical="center"/>
    </xf>
    <xf numFmtId="166" fontId="14" fillId="0" borderId="13" xfId="0" applyNumberFormat="1" applyFont="1" applyBorder="1" applyAlignment="1">
      <alignment vertical="center"/>
    </xf>
    <xf numFmtId="166" fontId="4" fillId="0" borderId="97" xfId="0" applyNumberFormat="1" applyFont="1" applyBorder="1" applyAlignment="1">
      <alignment vertical="center"/>
    </xf>
    <xf numFmtId="166" fontId="14" fillId="0" borderId="0" xfId="0" applyNumberFormat="1" applyFont="1" applyBorder="1" applyAlignment="1">
      <alignment vertical="center"/>
    </xf>
    <xf numFmtId="166" fontId="4" fillId="0" borderId="8" xfId="0" applyNumberFormat="1" applyFont="1" applyBorder="1" applyAlignment="1">
      <alignment vertical="center"/>
    </xf>
    <xf numFmtId="166" fontId="14" fillId="0" borderId="41" xfId="0" applyNumberFormat="1" applyFont="1" applyBorder="1" applyAlignment="1">
      <alignment vertical="center"/>
    </xf>
    <xf numFmtId="166" fontId="4" fillId="0" borderId="138" xfId="0" applyNumberFormat="1" applyFont="1" applyBorder="1" applyAlignment="1">
      <alignment vertical="center"/>
    </xf>
    <xf numFmtId="166" fontId="14" fillId="0" borderId="19" xfId="0" applyNumberFormat="1" applyFont="1" applyBorder="1" applyAlignment="1">
      <alignment vertical="center" wrapText="1"/>
    </xf>
    <xf numFmtId="166" fontId="4" fillId="0" borderId="40" xfId="0" applyNumberFormat="1" applyFont="1" applyBorder="1" applyAlignment="1">
      <alignment vertical="center" wrapText="1"/>
    </xf>
    <xf numFmtId="166" fontId="14" fillId="0" borderId="32" xfId="0" applyNumberFormat="1" applyFont="1" applyBorder="1" applyAlignment="1">
      <alignment vertical="center"/>
    </xf>
    <xf numFmtId="166" fontId="4" fillId="0" borderId="39" xfId="0" applyNumberFormat="1" applyFont="1" applyBorder="1" applyAlignment="1">
      <alignment vertical="center"/>
    </xf>
    <xf numFmtId="166" fontId="19" fillId="3" borderId="24" xfId="0" applyNumberFormat="1" applyFont="1" applyFill="1" applyBorder="1" applyAlignment="1" applyProtection="1">
      <alignment vertical="center"/>
      <protection locked="0"/>
    </xf>
    <xf numFmtId="166" fontId="19" fillId="3" borderId="83" xfId="1" applyNumberFormat="1" applyFont="1" applyFill="1" applyBorder="1" applyAlignment="1" applyProtection="1">
      <alignment vertical="center"/>
      <protection locked="0"/>
    </xf>
    <xf numFmtId="166" fontId="19" fillId="3" borderId="133" xfId="1" applyNumberFormat="1" applyFont="1" applyFill="1" applyBorder="1" applyAlignment="1" applyProtection="1">
      <alignment vertical="center"/>
      <protection locked="0"/>
    </xf>
    <xf numFmtId="166" fontId="19" fillId="3" borderId="137" xfId="1" applyNumberFormat="1" applyFont="1" applyFill="1" applyBorder="1" applyAlignment="1" applyProtection="1">
      <alignment vertical="center"/>
      <protection locked="0"/>
    </xf>
    <xf numFmtId="166" fontId="7" fillId="0" borderId="85" xfId="0" applyNumberFormat="1" applyFont="1" applyBorder="1" applyAlignment="1">
      <alignment horizontal="right" vertical="center"/>
    </xf>
    <xf numFmtId="166" fontId="17" fillId="0" borderId="84" xfId="0" applyNumberFormat="1" applyFont="1" applyBorder="1" applyAlignment="1">
      <alignment horizontal="right" vertical="center"/>
    </xf>
    <xf numFmtId="166" fontId="6" fillId="0" borderId="129" xfId="1" applyNumberFormat="1" applyFont="1" applyBorder="1" applyAlignment="1" applyProtection="1">
      <alignment vertical="center"/>
    </xf>
    <xf numFmtId="166" fontId="7" fillId="0" borderId="82" xfId="1" applyNumberFormat="1" applyFont="1" applyBorder="1" applyAlignment="1">
      <alignment vertical="center"/>
    </xf>
    <xf numFmtId="166" fontId="14" fillId="0" borderId="19" xfId="0" applyNumberFormat="1" applyFont="1" applyBorder="1" applyAlignment="1">
      <alignment vertical="center"/>
    </xf>
    <xf numFmtId="166" fontId="14" fillId="0" borderId="40" xfId="0" applyNumberFormat="1" applyFont="1" applyBorder="1" applyAlignment="1">
      <alignment vertical="center" wrapText="1"/>
    </xf>
    <xf numFmtId="166" fontId="19" fillId="3" borderId="52" xfId="1" applyNumberFormat="1" applyFont="1" applyFill="1" applyBorder="1" applyProtection="1">
      <protection locked="0"/>
    </xf>
    <xf numFmtId="166" fontId="4" fillId="0" borderId="139" xfId="1" applyNumberFormat="1" applyFont="1" applyBorder="1" applyAlignment="1">
      <alignment vertical="center"/>
    </xf>
    <xf numFmtId="166" fontId="19" fillId="3" borderId="27" xfId="1" applyNumberFormat="1" applyFont="1" applyFill="1" applyBorder="1" applyAlignment="1" applyProtection="1">
      <alignment vertical="center"/>
      <protection locked="0"/>
    </xf>
    <xf numFmtId="166" fontId="19" fillId="3" borderId="64" xfId="1" applyNumberFormat="1" applyFont="1" applyFill="1" applyBorder="1" applyAlignment="1" applyProtection="1">
      <alignment vertical="center"/>
      <protection locked="0"/>
    </xf>
    <xf numFmtId="166" fontId="14" fillId="0" borderId="43" xfId="0" applyNumberFormat="1" applyFont="1" applyBorder="1" applyAlignment="1">
      <alignment vertical="center"/>
    </xf>
    <xf numFmtId="166" fontId="19" fillId="3" borderId="24" xfId="1" applyNumberFormat="1" applyFont="1" applyFill="1" applyBorder="1" applyProtection="1">
      <protection locked="0"/>
    </xf>
    <xf numFmtId="166" fontId="14" fillId="0" borderId="39" xfId="0" applyNumberFormat="1" applyFont="1" applyBorder="1" applyAlignment="1">
      <alignment vertical="center"/>
    </xf>
    <xf numFmtId="166" fontId="14" fillId="0" borderId="21" xfId="0" applyNumberFormat="1" applyFont="1" applyBorder="1" applyAlignment="1">
      <alignment horizontal="left" vertical="center"/>
    </xf>
    <xf numFmtId="166" fontId="14" fillId="0" borderId="43" xfId="0" applyNumberFormat="1" applyFont="1" applyBorder="1" applyAlignment="1">
      <alignment horizontal="left" vertical="center"/>
    </xf>
    <xf numFmtId="166" fontId="16" fillId="0" borderId="14" xfId="0" applyNumberFormat="1" applyFont="1" applyBorder="1" applyAlignment="1">
      <alignment vertical="center"/>
    </xf>
    <xf numFmtId="166" fontId="17" fillId="0" borderId="129" xfId="1" applyNumberFormat="1" applyFont="1" applyBorder="1" applyAlignment="1">
      <alignment vertical="center"/>
    </xf>
    <xf numFmtId="166" fontId="17" fillId="0" borderId="126" xfId="1" applyNumberFormat="1" applyFont="1" applyBorder="1" applyAlignment="1">
      <alignment vertical="center"/>
    </xf>
    <xf numFmtId="166" fontId="19" fillId="3" borderId="52" xfId="0" applyNumberFormat="1" applyFont="1" applyFill="1" applyBorder="1" applyAlignment="1" applyProtection="1">
      <alignment vertical="center"/>
      <protection locked="0"/>
    </xf>
    <xf numFmtId="166" fontId="7" fillId="0" borderId="15" xfId="1" applyNumberFormat="1" applyFont="1" applyBorder="1" applyAlignment="1">
      <alignment vertical="center"/>
    </xf>
    <xf numFmtId="166" fontId="73" fillId="7" borderId="125" xfId="1" applyNumberFormat="1" applyFont="1" applyFill="1" applyBorder="1" applyAlignment="1">
      <alignment vertical="center"/>
    </xf>
    <xf numFmtId="166" fontId="14" fillId="0" borderId="21" xfId="0" applyNumberFormat="1" applyFont="1" applyBorder="1" applyAlignment="1">
      <alignment vertical="center"/>
    </xf>
    <xf numFmtId="166" fontId="4" fillId="0" borderId="83" xfId="1" applyNumberFormat="1" applyFont="1" applyFill="1" applyBorder="1" applyAlignment="1">
      <alignment vertical="center"/>
    </xf>
    <xf numFmtId="166" fontId="4" fillId="0" borderId="133" xfId="1" applyNumberFormat="1" applyFont="1" applyFill="1" applyBorder="1" applyAlignment="1">
      <alignment vertical="center"/>
    </xf>
    <xf numFmtId="166" fontId="4" fillId="0" borderId="134" xfId="1" applyNumberFormat="1" applyFont="1" applyFill="1" applyBorder="1" applyAlignment="1">
      <alignment vertical="center"/>
    </xf>
    <xf numFmtId="166" fontId="5" fillId="0" borderId="140" xfId="1" applyNumberFormat="1" applyFont="1" applyBorder="1" applyAlignment="1" applyProtection="1">
      <alignment vertical="center"/>
    </xf>
    <xf numFmtId="166" fontId="5" fillId="0" borderId="133" xfId="1" applyNumberFormat="1" applyFont="1" applyBorder="1" applyAlignment="1" applyProtection="1">
      <alignment vertical="center"/>
    </xf>
    <xf numFmtId="166" fontId="5" fillId="0" borderId="141" xfId="1" applyNumberFormat="1" applyFont="1" applyBorder="1" applyAlignment="1" applyProtection="1">
      <alignment vertical="center"/>
    </xf>
    <xf numFmtId="166" fontId="7" fillId="0" borderId="15" xfId="1" applyNumberFormat="1" applyFont="1" applyBorder="1" applyAlignment="1" applyProtection="1">
      <alignment vertical="center"/>
    </xf>
    <xf numFmtId="166" fontId="19" fillId="3" borderId="24" xfId="1" applyNumberFormat="1" applyFont="1" applyFill="1" applyBorder="1" applyAlignment="1" applyProtection="1">
      <alignment vertical="center"/>
      <protection locked="0"/>
    </xf>
    <xf numFmtId="166" fontId="5" fillId="0" borderId="83" xfId="1" applyNumberFormat="1" applyFont="1" applyBorder="1" applyAlignment="1" applyProtection="1">
      <alignment vertical="center"/>
    </xf>
    <xf numFmtId="166" fontId="19" fillId="3" borderId="52" xfId="1" applyNumberFormat="1" applyFont="1" applyFill="1" applyBorder="1" applyAlignment="1" applyProtection="1">
      <alignment vertical="center"/>
      <protection locked="0"/>
    </xf>
    <xf numFmtId="166" fontId="5" fillId="0" borderId="134" xfId="1" applyNumberFormat="1" applyFont="1" applyBorder="1" applyAlignment="1" applyProtection="1">
      <alignment vertical="center"/>
    </xf>
    <xf numFmtId="166" fontId="7" fillId="0" borderId="142" xfId="0" applyNumberFormat="1" applyFont="1" applyBorder="1" applyAlignment="1">
      <alignment horizontal="right" vertical="center"/>
    </xf>
    <xf numFmtId="166" fontId="7" fillId="0" borderId="14" xfId="0" applyNumberFormat="1" applyFont="1" applyBorder="1" applyAlignment="1">
      <alignment vertical="center"/>
    </xf>
    <xf numFmtId="166" fontId="47" fillId="0" borderId="143" xfId="1" applyNumberFormat="1" applyFont="1" applyBorder="1" applyAlignment="1" applyProtection="1">
      <alignment vertical="center"/>
    </xf>
    <xf numFmtId="166" fontId="47" fillId="0" borderId="82" xfId="1" applyNumberFormat="1" applyFont="1" applyBorder="1" applyAlignment="1" applyProtection="1">
      <alignment vertical="center"/>
    </xf>
    <xf numFmtId="166" fontId="19" fillId="3" borderId="144" xfId="1" applyNumberFormat="1" applyFont="1" applyFill="1" applyBorder="1" applyAlignment="1" applyProtection="1">
      <alignment vertical="center"/>
      <protection locked="0"/>
    </xf>
    <xf numFmtId="166" fontId="19" fillId="3" borderId="141" xfId="1" applyNumberFormat="1" applyFont="1" applyFill="1" applyBorder="1" applyAlignment="1" applyProtection="1">
      <alignment vertical="center"/>
      <protection locked="0"/>
    </xf>
    <xf numFmtId="166" fontId="22" fillId="0" borderId="139" xfId="1" applyNumberFormat="1" applyFont="1" applyBorder="1" applyAlignment="1">
      <alignment vertical="center"/>
    </xf>
    <xf numFmtId="166" fontId="7" fillId="0" borderId="145" xfId="1" applyNumberFormat="1" applyFont="1" applyBorder="1" applyAlignment="1">
      <alignment vertical="center"/>
    </xf>
    <xf numFmtId="166" fontId="17" fillId="0" borderId="125" xfId="0" applyNumberFormat="1" applyFont="1" applyBorder="1" applyAlignment="1" applyProtection="1">
      <alignment vertical="center"/>
    </xf>
    <xf numFmtId="166" fontId="17" fillId="0" borderId="136" xfId="0" applyNumberFormat="1" applyFont="1" applyBorder="1" applyAlignment="1" applyProtection="1">
      <alignment vertical="center"/>
    </xf>
    <xf numFmtId="166" fontId="16" fillId="0" borderId="8" xfId="0" applyNumberFormat="1" applyFont="1" applyBorder="1" applyAlignment="1" applyProtection="1">
      <alignment vertical="center"/>
    </xf>
    <xf numFmtId="166" fontId="16" fillId="0" borderId="146" xfId="0" applyNumberFormat="1" applyFont="1" applyBorder="1" applyAlignment="1" applyProtection="1">
      <alignment vertical="center"/>
    </xf>
    <xf numFmtId="166" fontId="17" fillId="0" borderId="14" xfId="0" applyNumberFormat="1" applyFont="1" applyBorder="1" applyAlignment="1" applyProtection="1">
      <alignment vertical="center"/>
    </xf>
    <xf numFmtId="166" fontId="48" fillId="0" borderId="14" xfId="0" applyNumberFormat="1" applyFont="1" applyBorder="1" applyAlignment="1" applyProtection="1">
      <alignment vertical="center"/>
    </xf>
    <xf numFmtId="166" fontId="17" fillId="0" borderId="146" xfId="0" applyNumberFormat="1" applyFont="1" applyBorder="1" applyAlignment="1" applyProtection="1">
      <alignment vertical="center"/>
    </xf>
    <xf numFmtId="166" fontId="16" fillId="0" borderId="70" xfId="0" applyNumberFormat="1" applyFont="1" applyBorder="1" applyAlignment="1" applyProtection="1">
      <alignment vertical="center"/>
    </xf>
    <xf numFmtId="166" fontId="48" fillId="0" borderId="146" xfId="0" applyNumberFormat="1" applyFont="1" applyBorder="1" applyAlignment="1" applyProtection="1">
      <alignment vertical="center"/>
    </xf>
    <xf numFmtId="166" fontId="17" fillId="0" borderId="61" xfId="0" applyNumberFormat="1" applyFont="1" applyBorder="1" applyAlignment="1" applyProtection="1">
      <alignment vertical="center"/>
    </xf>
    <xf numFmtId="166" fontId="17" fillId="0" borderId="8" xfId="0" applyNumberFormat="1" applyFont="1" applyBorder="1" applyAlignment="1" applyProtection="1">
      <alignment vertical="center"/>
    </xf>
    <xf numFmtId="166" fontId="41" fillId="0" borderId="128" xfId="0" applyNumberFormat="1" applyFont="1" applyFill="1" applyBorder="1" applyAlignment="1" applyProtection="1">
      <alignment vertical="center"/>
    </xf>
    <xf numFmtId="166" fontId="47" fillId="10" borderId="128" xfId="0" applyNumberFormat="1" applyFont="1" applyFill="1" applyBorder="1" applyAlignment="1" applyProtection="1">
      <alignment vertical="center"/>
    </xf>
    <xf numFmtId="166" fontId="5" fillId="0" borderId="8" xfId="0" applyNumberFormat="1" applyFont="1" applyFill="1" applyBorder="1" applyAlignment="1" applyProtection="1">
      <alignment vertical="center"/>
    </xf>
    <xf numFmtId="166" fontId="47" fillId="0" borderId="132" xfId="0" applyNumberFormat="1" applyFont="1" applyFill="1" applyBorder="1" applyAlignment="1" applyProtection="1">
      <alignment vertical="center"/>
    </xf>
    <xf numFmtId="166" fontId="4" fillId="0" borderId="8" xfId="0" applyNumberFormat="1" applyFont="1" applyBorder="1" applyAlignment="1" applyProtection="1">
      <alignment vertical="center"/>
    </xf>
    <xf numFmtId="166" fontId="17" fillId="0" borderId="132" xfId="0" applyNumberFormat="1" applyFont="1" applyBorder="1" applyAlignment="1" applyProtection="1">
      <alignment vertical="center"/>
    </xf>
    <xf numFmtId="166" fontId="47" fillId="0" borderId="8" xfId="0" applyNumberFormat="1" applyFont="1" applyFill="1" applyBorder="1" applyAlignment="1" applyProtection="1">
      <alignment vertical="center"/>
    </xf>
    <xf numFmtId="166" fontId="22" fillId="0" borderId="97" xfId="0" applyNumberFormat="1" applyFont="1" applyFill="1" applyBorder="1" applyAlignment="1" applyProtection="1">
      <alignment vertical="center"/>
    </xf>
    <xf numFmtId="166" fontId="17" fillId="0" borderId="8" xfId="0" applyNumberFormat="1" applyFont="1" applyFill="1" applyBorder="1" applyAlignment="1" applyProtection="1">
      <alignment vertical="center"/>
    </xf>
    <xf numFmtId="166" fontId="5" fillId="0" borderId="11" xfId="0" applyNumberFormat="1" applyFont="1" applyFill="1" applyBorder="1" applyAlignment="1" applyProtection="1">
      <alignment vertical="center"/>
    </xf>
    <xf numFmtId="166" fontId="15" fillId="0" borderId="61" xfId="0" applyNumberFormat="1" applyFont="1" applyFill="1" applyBorder="1" applyAlignment="1" applyProtection="1">
      <alignment vertical="center"/>
    </xf>
    <xf numFmtId="165" fontId="17" fillId="0" borderId="147" xfId="0" applyNumberFormat="1" applyFont="1" applyBorder="1" applyAlignment="1" applyProtection="1">
      <alignment vertical="center"/>
    </xf>
    <xf numFmtId="166" fontId="7" fillId="0" borderId="8" xfId="0" applyNumberFormat="1" applyFont="1" applyFill="1" applyBorder="1" applyAlignment="1" applyProtection="1">
      <alignment vertical="center"/>
    </xf>
    <xf numFmtId="166" fontId="4" fillId="0" borderId="8" xfId="0" applyNumberFormat="1" applyFont="1" applyFill="1" applyBorder="1" applyAlignment="1" applyProtection="1">
      <alignment vertical="center"/>
    </xf>
    <xf numFmtId="166" fontId="17" fillId="0" borderId="132" xfId="0" applyNumberFormat="1" applyFont="1" applyFill="1" applyBorder="1" applyAlignment="1" applyProtection="1">
      <alignment vertical="center"/>
    </xf>
    <xf numFmtId="166" fontId="4" fillId="0" borderId="70" xfId="0" applyNumberFormat="1" applyFont="1" applyFill="1" applyBorder="1" applyAlignment="1" applyProtection="1">
      <alignment horizontal="right" vertical="center"/>
    </xf>
    <xf numFmtId="166" fontId="4" fillId="0" borderId="8" xfId="0" applyNumberFormat="1" applyFont="1" applyFill="1" applyBorder="1" applyAlignment="1" applyProtection="1">
      <alignment horizontal="right" vertical="center"/>
    </xf>
    <xf numFmtId="166" fontId="5" fillId="0" borderId="8" xfId="0" applyNumberFormat="1" applyFont="1" applyFill="1" applyBorder="1" applyAlignment="1" applyProtection="1">
      <alignment horizontal="right" vertical="center"/>
    </xf>
    <xf numFmtId="166" fontId="14" fillId="0" borderId="8" xfId="0" applyNumberFormat="1" applyFont="1" applyBorder="1" applyAlignment="1" applyProtection="1">
      <alignment horizontal="right" vertical="center"/>
    </xf>
    <xf numFmtId="166" fontId="5" fillId="0" borderId="97" xfId="0" applyNumberFormat="1" applyFont="1" applyFill="1" applyBorder="1" applyAlignment="1" applyProtection="1">
      <alignment horizontal="right" vertical="center"/>
    </xf>
    <xf numFmtId="166" fontId="47" fillId="0" borderId="39" xfId="0" applyNumberFormat="1" applyFont="1" applyFill="1" applyBorder="1" applyAlignment="1" applyProtection="1">
      <alignment horizontal="right" vertical="center"/>
    </xf>
    <xf numFmtId="166" fontId="6" fillId="0" borderId="8" xfId="0" applyNumberFormat="1" applyFont="1" applyFill="1" applyBorder="1" applyAlignment="1" applyProtection="1">
      <alignment vertical="center"/>
    </xf>
    <xf numFmtId="166" fontId="4" fillId="0" borderId="70" xfId="0" applyNumberFormat="1" applyFont="1" applyBorder="1" applyAlignment="1" applyProtection="1">
      <alignment vertical="center"/>
    </xf>
    <xf numFmtId="166" fontId="5" fillId="0" borderId="146" xfId="0" applyNumberFormat="1" applyFont="1" applyFill="1" applyBorder="1" applyAlignment="1" applyProtection="1">
      <alignment vertical="center"/>
    </xf>
    <xf numFmtId="166" fontId="48" fillId="0" borderId="8" xfId="0" applyNumberFormat="1" applyFont="1" applyFill="1" applyBorder="1" applyAlignment="1" applyProtection="1">
      <alignment vertical="center"/>
    </xf>
    <xf numFmtId="166" fontId="17" fillId="0" borderId="14" xfId="0" applyNumberFormat="1" applyFont="1" applyFill="1" applyBorder="1" applyAlignment="1" applyProtection="1">
      <alignment vertical="center"/>
    </xf>
    <xf numFmtId="166" fontId="47" fillId="0" borderId="39" xfId="0" applyNumberFormat="1" applyFont="1" applyFill="1" applyBorder="1" applyAlignment="1" applyProtection="1">
      <alignment vertical="center"/>
    </xf>
    <xf numFmtId="166" fontId="5" fillId="0" borderId="70" xfId="0" applyNumberFormat="1" applyFont="1" applyFill="1" applyBorder="1" applyAlignment="1" applyProtection="1">
      <alignment vertical="center"/>
    </xf>
    <xf numFmtId="166" fontId="47" fillId="0" borderId="61" xfId="0" applyNumberFormat="1" applyFont="1" applyFill="1" applyBorder="1" applyAlignment="1" applyProtection="1">
      <alignment vertical="center"/>
    </xf>
    <xf numFmtId="166" fontId="4" fillId="0" borderId="18" xfId="0" applyNumberFormat="1" applyFont="1" applyFill="1" applyBorder="1" applyAlignment="1" applyProtection="1">
      <alignment horizontal="right" vertical="center"/>
    </xf>
    <xf numFmtId="166" fontId="4" fillId="0" borderId="43" xfId="0" applyNumberFormat="1" applyFont="1" applyFill="1" applyBorder="1" applyAlignment="1" applyProtection="1">
      <alignment horizontal="right" vertical="center"/>
    </xf>
    <xf numFmtId="166" fontId="4" fillId="0" borderId="148" xfId="0" applyNumberFormat="1" applyFont="1" applyFill="1" applyBorder="1" applyAlignment="1" applyProtection="1">
      <alignment horizontal="right" vertical="center"/>
    </xf>
    <xf numFmtId="166" fontId="7" fillId="11" borderId="70" xfId="0" applyNumberFormat="1" applyFont="1" applyFill="1" applyBorder="1" applyAlignment="1" applyProtection="1">
      <alignment horizontal="right" vertical="center"/>
    </xf>
    <xf numFmtId="166" fontId="17" fillId="3" borderId="149" xfId="0" applyNumberFormat="1" applyFont="1" applyFill="1" applyBorder="1" applyAlignment="1" applyProtection="1">
      <alignment horizontal="right" vertical="center"/>
      <protection locked="0"/>
    </xf>
    <xf numFmtId="166" fontId="4" fillId="0" borderId="8" xfId="0" applyNumberFormat="1" applyFont="1" applyBorder="1" applyAlignment="1" applyProtection="1">
      <alignment horizontal="right" vertical="center"/>
    </xf>
    <xf numFmtId="166" fontId="17" fillId="3" borderId="150" xfId="0" applyNumberFormat="1" applyFont="1" applyFill="1" applyBorder="1" applyAlignment="1" applyProtection="1">
      <alignment horizontal="right" vertical="center"/>
      <protection locked="0"/>
    </xf>
    <xf numFmtId="166" fontId="4" fillId="0" borderId="151" xfId="0" applyNumberFormat="1" applyFont="1" applyBorder="1" applyAlignment="1" applyProtection="1">
      <alignment horizontal="right" vertical="center"/>
    </xf>
    <xf numFmtId="166" fontId="17" fillId="11" borderId="152" xfId="0" applyNumberFormat="1" applyFont="1" applyFill="1" applyBorder="1" applyAlignment="1" applyProtection="1">
      <alignment horizontal="right" vertical="center"/>
    </xf>
    <xf numFmtId="166" fontId="7" fillId="11" borderId="82" xfId="0" applyNumberFormat="1" applyFont="1" applyFill="1" applyBorder="1" applyAlignment="1" applyProtection="1">
      <alignment horizontal="right" vertical="center"/>
    </xf>
    <xf numFmtId="166" fontId="4" fillId="0" borderId="11" xfId="0" applyNumberFormat="1" applyFont="1" applyFill="1" applyBorder="1" applyAlignment="1" applyProtection="1">
      <alignment vertical="center"/>
    </xf>
    <xf numFmtId="166" fontId="4" fillId="0" borderId="14" xfId="0" applyNumberFormat="1" applyFont="1" applyFill="1" applyBorder="1" applyAlignment="1" applyProtection="1">
      <alignment vertical="center"/>
    </xf>
    <xf numFmtId="166" fontId="14" fillId="0" borderId="8" xfId="0" applyNumberFormat="1" applyFont="1" applyBorder="1" applyAlignment="1" applyProtection="1">
      <alignment vertical="center"/>
    </xf>
    <xf numFmtId="166" fontId="48" fillId="0" borderId="39" xfId="0" applyNumberFormat="1" applyFont="1" applyFill="1" applyBorder="1" applyAlignment="1" applyProtection="1">
      <alignment vertical="center"/>
    </xf>
    <xf numFmtId="166" fontId="5" fillId="0" borderId="14" xfId="0" applyNumberFormat="1" applyFont="1" applyFill="1" applyBorder="1" applyAlignment="1" applyProtection="1">
      <alignment vertical="center"/>
    </xf>
    <xf numFmtId="166" fontId="44" fillId="0" borderId="128" xfId="0" applyNumberFormat="1" applyFont="1" applyBorder="1" applyAlignment="1" applyProtection="1">
      <alignment vertical="center"/>
    </xf>
    <xf numFmtId="166" fontId="19" fillId="3" borderId="49" xfId="0" applyNumberFormat="1" applyFont="1" applyFill="1" applyBorder="1" applyAlignment="1" applyProtection="1">
      <alignment vertical="center"/>
      <protection locked="0"/>
    </xf>
    <xf numFmtId="166" fontId="4" fillId="0" borderId="49" xfId="0" applyNumberFormat="1" applyFont="1" applyBorder="1" applyAlignment="1" applyProtection="1">
      <alignment vertical="center"/>
    </xf>
    <xf numFmtId="166" fontId="4" fillId="0" borderId="144" xfId="0" applyNumberFormat="1" applyFont="1" applyBorder="1" applyAlignment="1" applyProtection="1">
      <alignment vertical="center"/>
    </xf>
    <xf numFmtId="166" fontId="7" fillId="0" borderId="35" xfId="0" applyNumberFormat="1" applyFont="1" applyBorder="1" applyAlignment="1" applyProtection="1">
      <alignment vertical="center"/>
    </xf>
    <xf numFmtId="166" fontId="7" fillId="0" borderId="126" xfId="0" applyNumberFormat="1" applyFont="1" applyBorder="1" applyAlignment="1" applyProtection="1">
      <alignment vertical="center"/>
    </xf>
    <xf numFmtId="166" fontId="19" fillId="3" borderId="153" xfId="0" applyNumberFormat="1" applyFont="1" applyFill="1" applyBorder="1" applyAlignment="1" applyProtection="1">
      <alignment vertical="center"/>
      <protection locked="0"/>
    </xf>
    <xf numFmtId="166" fontId="4" fillId="0" borderId="140" xfId="0" applyNumberFormat="1" applyFont="1" applyBorder="1" applyAlignment="1" applyProtection="1">
      <alignment vertical="center"/>
    </xf>
    <xf numFmtId="166" fontId="19" fillId="0" borderId="154" xfId="0" applyNumberFormat="1" applyFont="1" applyFill="1" applyBorder="1" applyAlignment="1" applyProtection="1">
      <alignment vertical="center"/>
    </xf>
    <xf numFmtId="166" fontId="4" fillId="0" borderId="154" xfId="0" applyNumberFormat="1" applyFont="1" applyFill="1" applyBorder="1" applyAlignment="1" applyProtection="1">
      <alignment vertical="center"/>
    </xf>
    <xf numFmtId="166" fontId="4" fillId="0" borderId="145" xfId="0" applyNumberFormat="1" applyFont="1" applyFill="1" applyBorder="1" applyAlignment="1" applyProtection="1">
      <alignment vertical="center"/>
    </xf>
    <xf numFmtId="166" fontId="4" fillId="0" borderId="125" xfId="0" applyNumberFormat="1" applyFont="1" applyFill="1" applyBorder="1" applyAlignment="1" applyProtection="1">
      <alignment horizontal="right" vertical="center"/>
    </xf>
    <xf numFmtId="166" fontId="48" fillId="0" borderId="57" xfId="0" applyNumberFormat="1" applyFont="1" applyFill="1" applyBorder="1" applyAlignment="1" applyProtection="1">
      <alignment horizontal="right" vertical="center"/>
    </xf>
    <xf numFmtId="166" fontId="16" fillId="0" borderId="57" xfId="0" applyNumberFormat="1" applyFont="1" applyFill="1" applyBorder="1" applyAlignment="1" applyProtection="1">
      <alignment horizontal="right" vertical="center"/>
    </xf>
    <xf numFmtId="166" fontId="17" fillId="11" borderId="139" xfId="0" applyNumberFormat="1" applyFont="1" applyFill="1" applyBorder="1" applyAlignment="1" applyProtection="1">
      <alignment horizontal="right" vertical="center"/>
    </xf>
    <xf numFmtId="166" fontId="4" fillId="0" borderId="57" xfId="0" applyNumberFormat="1" applyFont="1" applyFill="1" applyBorder="1" applyAlignment="1" applyProtection="1">
      <alignment horizontal="right" vertical="center"/>
    </xf>
    <xf numFmtId="166" fontId="4" fillId="0" borderId="15" xfId="0" applyNumberFormat="1" applyFont="1" applyFill="1" applyBorder="1" applyAlignment="1" applyProtection="1">
      <alignment horizontal="right" vertical="center"/>
    </xf>
    <xf numFmtId="166" fontId="4" fillId="0" borderId="125" xfId="0" applyNumberFormat="1" applyFont="1" applyBorder="1" applyAlignment="1" applyProtection="1">
      <alignment vertical="center"/>
    </xf>
    <xf numFmtId="166" fontId="4" fillId="0" borderId="40" xfId="0" applyNumberFormat="1" applyFont="1" applyBorder="1" applyAlignment="1" applyProtection="1">
      <alignment vertical="center"/>
    </xf>
    <xf numFmtId="166" fontId="4" fillId="0" borderId="151" xfId="0" applyNumberFormat="1" applyFont="1" applyBorder="1" applyAlignment="1" applyProtection="1">
      <alignment vertical="center"/>
    </xf>
    <xf numFmtId="166" fontId="4" fillId="0" borderId="57" xfId="0" applyNumberFormat="1" applyFont="1" applyBorder="1" applyAlignment="1" applyProtection="1">
      <alignment vertical="center"/>
    </xf>
    <xf numFmtId="166" fontId="4" fillId="0" borderId="149" xfId="0" applyNumberFormat="1" applyFont="1" applyBorder="1" applyAlignment="1" applyProtection="1">
      <alignment vertical="center"/>
    </xf>
    <xf numFmtId="166" fontId="4" fillId="0" borderId="155" xfId="0" applyNumberFormat="1" applyFont="1" applyBorder="1" applyAlignment="1" applyProtection="1">
      <alignment vertical="center"/>
    </xf>
    <xf numFmtId="166" fontId="4" fillId="0" borderId="150" xfId="0" applyNumberFormat="1" applyFont="1" applyBorder="1" applyAlignment="1" applyProtection="1">
      <alignment vertical="center"/>
    </xf>
    <xf numFmtId="166" fontId="4" fillId="0" borderId="156" xfId="0" applyNumberFormat="1" applyFont="1" applyBorder="1" applyAlignment="1" applyProtection="1">
      <alignment vertical="center"/>
    </xf>
    <xf numFmtId="0" fontId="28" fillId="0" borderId="0" xfId="0" applyFont="1" applyBorder="1" applyAlignment="1">
      <alignment horizontal="right" vertical="center"/>
    </xf>
    <xf numFmtId="166" fontId="28" fillId="0" borderId="19" xfId="0" applyNumberFormat="1" applyFont="1" applyBorder="1" applyAlignment="1">
      <alignment vertical="center"/>
    </xf>
    <xf numFmtId="9" fontId="108" fillId="0" borderId="62" xfId="0" applyNumberFormat="1" applyFont="1" applyFill="1" applyBorder="1" applyAlignment="1" applyProtection="1">
      <alignment horizontal="center" vertical="center"/>
    </xf>
    <xf numFmtId="166" fontId="28" fillId="0" borderId="128" xfId="0" applyNumberFormat="1" applyFont="1" applyFill="1" applyBorder="1" applyAlignment="1" applyProtection="1">
      <alignment vertical="center"/>
    </xf>
    <xf numFmtId="173" fontId="5" fillId="0" borderId="6" xfId="0" applyNumberFormat="1" applyFont="1" applyFill="1" applyBorder="1" applyAlignment="1" applyProtection="1">
      <alignment horizontal="right" vertical="center"/>
    </xf>
    <xf numFmtId="0" fontId="14" fillId="0" borderId="157" xfId="0" applyFont="1" applyBorder="1" applyAlignment="1">
      <alignment horizontal="right" vertical="center"/>
    </xf>
    <xf numFmtId="0" fontId="4" fillId="0" borderId="158" xfId="0" applyFont="1" applyFill="1" applyBorder="1" applyAlignment="1" applyProtection="1">
      <alignment horizontal="right" vertical="center"/>
    </xf>
    <xf numFmtId="0" fontId="14" fillId="0" borderId="0" xfId="0" applyFont="1" applyBorder="1" applyAlignment="1" applyProtection="1">
      <alignment horizontal="center" vertical="center"/>
      <protection locked="0"/>
    </xf>
    <xf numFmtId="0" fontId="104" fillId="0" borderId="0" xfId="0" applyFont="1" applyFill="1" applyBorder="1" applyAlignment="1" applyProtection="1">
      <alignment horizontal="center" vertical="center"/>
    </xf>
    <xf numFmtId="0" fontId="114" fillId="0" borderId="159" xfId="0" applyFont="1" applyFill="1" applyBorder="1" applyAlignment="1" applyProtection="1">
      <alignment horizontal="right" vertical="center"/>
    </xf>
    <xf numFmtId="9" fontId="28" fillId="3" borderId="19" xfId="0" applyNumberFormat="1" applyFont="1" applyFill="1" applyBorder="1" applyAlignment="1" applyProtection="1">
      <alignment horizontal="center" vertical="center"/>
      <protection locked="0"/>
    </xf>
    <xf numFmtId="0" fontId="48" fillId="0" borderId="78" xfId="0" applyFont="1" applyBorder="1" applyAlignment="1" applyProtection="1">
      <alignment vertical="center"/>
    </xf>
    <xf numFmtId="0" fontId="21" fillId="0" borderId="62" xfId="0" applyFont="1" applyFill="1" applyBorder="1" applyAlignment="1" applyProtection="1">
      <alignment vertical="center"/>
    </xf>
    <xf numFmtId="173" fontId="47" fillId="0" borderId="62" xfId="0" applyNumberFormat="1" applyFont="1" applyFill="1" applyBorder="1" applyAlignment="1" applyProtection="1">
      <alignment vertical="center"/>
    </xf>
    <xf numFmtId="173" fontId="41" fillId="0" borderId="62" xfId="0" applyNumberFormat="1" applyFont="1" applyFill="1" applyBorder="1" applyAlignment="1" applyProtection="1">
      <alignment vertical="center"/>
    </xf>
    <xf numFmtId="173" fontId="21" fillId="0" borderId="62" xfId="0" applyNumberFormat="1" applyFont="1" applyFill="1" applyBorder="1" applyAlignment="1" applyProtection="1">
      <alignment vertical="center"/>
    </xf>
    <xf numFmtId="173" fontId="47" fillId="0" borderId="62" xfId="0" applyNumberFormat="1" applyFont="1" applyFill="1" applyBorder="1" applyAlignment="1" applyProtection="1">
      <alignment horizontal="right" vertical="center"/>
    </xf>
    <xf numFmtId="166" fontId="17" fillId="0" borderId="128" xfId="0" applyNumberFormat="1" applyFont="1" applyFill="1" applyBorder="1" applyAlignment="1" applyProtection="1">
      <alignment vertical="center"/>
    </xf>
    <xf numFmtId="0" fontId="7" fillId="0" borderId="0" xfId="0" applyFont="1" applyBorder="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indent="9"/>
    </xf>
    <xf numFmtId="0" fontId="0" fillId="0" borderId="0" xfId="0" applyBorder="1" applyAlignment="1">
      <alignment vertical="top" wrapText="1"/>
    </xf>
    <xf numFmtId="0" fontId="113" fillId="0" borderId="0" xfId="0" applyFont="1"/>
    <xf numFmtId="0" fontId="114" fillId="0" borderId="24" xfId="0" applyFont="1" applyFill="1" applyBorder="1" applyAlignment="1" applyProtection="1">
      <alignment horizontal="center" vertical="center"/>
    </xf>
    <xf numFmtId="0" fontId="14" fillId="0" borderId="157" xfId="0" applyFont="1" applyBorder="1" applyAlignment="1" applyProtection="1">
      <alignment horizontal="right" vertical="center"/>
    </xf>
    <xf numFmtId="0" fontId="14" fillId="0" borderId="0" xfId="0" applyFont="1" applyBorder="1" applyAlignment="1" applyProtection="1">
      <alignment horizontal="center" vertical="center"/>
    </xf>
    <xf numFmtId="0" fontId="114" fillId="0" borderId="101" xfId="0" applyFont="1" applyFill="1" applyBorder="1" applyAlignment="1" applyProtection="1">
      <alignment horizontal="right" vertical="center"/>
    </xf>
    <xf numFmtId="0" fontId="22" fillId="0" borderId="19" xfId="0" applyFont="1" applyBorder="1" applyAlignment="1"/>
    <xf numFmtId="0" fontId="22" fillId="0" borderId="19" xfId="0" applyFont="1" applyBorder="1" applyAlignment="1" applyProtection="1">
      <alignment wrapText="1"/>
    </xf>
    <xf numFmtId="0" fontId="22" fillId="0" borderId="19" xfId="0" applyFont="1" applyBorder="1" applyAlignment="1" applyProtection="1"/>
    <xf numFmtId="0" fontId="22" fillId="0" borderId="19" xfId="0" applyFont="1" applyBorder="1" applyAlignment="1" applyProtection="1">
      <alignment horizontal="center" wrapText="1"/>
    </xf>
    <xf numFmtId="0" fontId="22" fillId="0" borderId="19" xfId="0" applyFont="1" applyBorder="1" applyAlignment="1">
      <alignment horizontal="center"/>
    </xf>
    <xf numFmtId="0" fontId="73" fillId="0" borderId="19" xfId="0" applyFont="1" applyBorder="1" applyAlignment="1">
      <alignment vertical="center"/>
    </xf>
    <xf numFmtId="0" fontId="73" fillId="0" borderId="19" xfId="0" applyFont="1" applyBorder="1" applyAlignment="1">
      <alignment horizontal="left" vertical="center" wrapText="1"/>
    </xf>
    <xf numFmtId="9" fontId="73" fillId="0" borderId="19" xfId="15" applyFont="1" applyBorder="1" applyAlignment="1">
      <alignment horizontal="center" vertical="center" wrapText="1"/>
    </xf>
    <xf numFmtId="9" fontId="73" fillId="0" borderId="19" xfId="15" applyFont="1" applyBorder="1" applyAlignment="1">
      <alignment vertical="center"/>
    </xf>
    <xf numFmtId="10" fontId="73" fillId="0" borderId="19" xfId="0" applyNumberFormat="1" applyFont="1" applyBorder="1" applyAlignment="1">
      <alignment vertical="center"/>
    </xf>
    <xf numFmtId="0" fontId="4" fillId="0" borderId="160" xfId="0" applyFont="1" applyBorder="1" applyAlignment="1">
      <alignment horizontal="center" vertical="top" wrapText="1"/>
    </xf>
    <xf numFmtId="0" fontId="4" fillId="0" borderId="161" xfId="0" applyFont="1" applyBorder="1" applyAlignment="1">
      <alignment horizontal="center" vertical="top" wrapText="1"/>
    </xf>
    <xf numFmtId="0" fontId="4" fillId="0" borderId="162" xfId="0" applyFont="1" applyBorder="1" applyAlignment="1">
      <alignment horizontal="left" vertical="top" wrapText="1"/>
    </xf>
    <xf numFmtId="0" fontId="4" fillId="0" borderId="163" xfId="0" applyFont="1" applyBorder="1" applyAlignment="1">
      <alignment horizontal="left" vertical="top" wrapText="1"/>
    </xf>
    <xf numFmtId="10" fontId="28" fillId="3" borderId="19" xfId="0" applyNumberFormat="1" applyFont="1" applyFill="1" applyBorder="1" applyAlignment="1" applyProtection="1">
      <alignment horizontal="center" vertical="center"/>
    </xf>
    <xf numFmtId="172" fontId="4" fillId="0" borderId="0" xfId="15" applyNumberFormat="1" applyFont="1" applyFill="1" applyBorder="1" applyAlignment="1" applyProtection="1">
      <alignment vertical="center"/>
    </xf>
    <xf numFmtId="172" fontId="14" fillId="0" borderId="0" xfId="0" applyNumberFormat="1" applyFont="1" applyBorder="1" applyAlignment="1" applyProtection="1">
      <alignment vertical="center"/>
    </xf>
    <xf numFmtId="0" fontId="17" fillId="4" borderId="34" xfId="0" applyFont="1" applyFill="1" applyBorder="1" applyAlignment="1" applyProtection="1">
      <alignment horizontal="center" vertical="top" wrapText="1"/>
    </xf>
    <xf numFmtId="0" fontId="17" fillId="4" borderId="35" xfId="0" applyFont="1" applyFill="1" applyBorder="1" applyAlignment="1" applyProtection="1">
      <alignment horizontal="center" vertical="top" wrapText="1"/>
    </xf>
    <xf numFmtId="0" fontId="17" fillId="4" borderId="126" xfId="0" applyFont="1" applyFill="1" applyBorder="1" applyAlignment="1" applyProtection="1">
      <alignment horizontal="center" vertical="top" wrapText="1"/>
    </xf>
    <xf numFmtId="166" fontId="17" fillId="3" borderId="37" xfId="0" applyNumberFormat="1" applyFont="1" applyFill="1" applyBorder="1" applyAlignment="1" applyProtection="1">
      <alignment horizontal="right" vertical="center"/>
      <protection locked="0"/>
    </xf>
    <xf numFmtId="166" fontId="17" fillId="3" borderId="19" xfId="0" applyNumberFormat="1" applyFont="1" applyFill="1" applyBorder="1" applyAlignment="1" applyProtection="1">
      <alignment horizontal="right" vertical="center"/>
      <protection locked="0"/>
    </xf>
    <xf numFmtId="166" fontId="17" fillId="3" borderId="40" xfId="0" applyNumberFormat="1" applyFont="1" applyFill="1" applyBorder="1" applyAlignment="1" applyProtection="1">
      <alignment horizontal="right" vertical="center"/>
      <protection locked="0"/>
    </xf>
    <xf numFmtId="166" fontId="17" fillId="11" borderId="164" xfId="0" applyNumberFormat="1" applyFont="1" applyFill="1" applyBorder="1" applyAlignment="1" applyProtection="1">
      <alignment horizontal="right" vertical="center"/>
    </xf>
    <xf numFmtId="166" fontId="17" fillId="11" borderId="165" xfId="0" applyNumberFormat="1" applyFont="1" applyFill="1" applyBorder="1" applyAlignment="1" applyProtection="1">
      <alignment horizontal="right" vertical="center"/>
    </xf>
    <xf numFmtId="166" fontId="17" fillId="11" borderId="15" xfId="0" applyNumberFormat="1" applyFont="1" applyFill="1" applyBorder="1" applyAlignment="1" applyProtection="1">
      <alignment horizontal="right" vertical="center"/>
    </xf>
    <xf numFmtId="166" fontId="16" fillId="3" borderId="30" xfId="0" applyNumberFormat="1" applyFont="1" applyFill="1" applyBorder="1" applyAlignment="1" applyProtection="1">
      <alignment horizontal="right" vertical="center"/>
    </xf>
    <xf numFmtId="166" fontId="16" fillId="3" borderId="19" xfId="0" applyNumberFormat="1" applyFont="1" applyFill="1" applyBorder="1" applyAlignment="1" applyProtection="1">
      <alignment horizontal="right" vertical="center"/>
    </xf>
    <xf numFmtId="166" fontId="4" fillId="3" borderId="139" xfId="0" applyNumberFormat="1" applyFont="1" applyFill="1" applyBorder="1" applyAlignment="1" applyProtection="1">
      <alignment horizontal="right" vertical="center"/>
    </xf>
    <xf numFmtId="166" fontId="4" fillId="3" borderId="15" xfId="0" applyNumberFormat="1" applyFont="1" applyFill="1" applyBorder="1" applyAlignment="1" applyProtection="1">
      <alignment horizontal="right" vertical="center"/>
    </xf>
    <xf numFmtId="166" fontId="16" fillId="3" borderId="38" xfId="0" applyNumberFormat="1" applyFont="1" applyFill="1" applyBorder="1" applyAlignment="1" applyProtection="1">
      <alignment horizontal="right" vertical="center"/>
    </xf>
    <xf numFmtId="166" fontId="16" fillId="3" borderId="166" xfId="0" applyNumberFormat="1" applyFont="1" applyFill="1" applyBorder="1" applyAlignment="1" applyProtection="1">
      <alignment horizontal="right" vertical="center"/>
    </xf>
    <xf numFmtId="166" fontId="20" fillId="0" borderId="150" xfId="0" applyNumberFormat="1" applyFont="1" applyFill="1" applyBorder="1" applyAlignment="1" applyProtection="1">
      <alignment vertical="center"/>
    </xf>
    <xf numFmtId="166" fontId="16" fillId="11" borderId="156" xfId="0" applyNumberFormat="1" applyFont="1" applyFill="1" applyBorder="1" applyAlignment="1" applyProtection="1">
      <alignment vertical="center"/>
    </xf>
    <xf numFmtId="166" fontId="4" fillId="11" borderId="57" xfId="0" applyNumberFormat="1" applyFont="1" applyFill="1" applyBorder="1" applyAlignment="1" applyProtection="1">
      <alignment vertical="center"/>
    </xf>
    <xf numFmtId="166" fontId="16" fillId="3" borderId="167" xfId="0" applyNumberFormat="1" applyFont="1" applyFill="1" applyBorder="1" applyAlignment="1" applyProtection="1">
      <alignment horizontal="right" vertical="center"/>
    </xf>
    <xf numFmtId="166" fontId="4" fillId="0" borderId="82" xfId="0" applyNumberFormat="1" applyFont="1" applyBorder="1" applyAlignment="1" applyProtection="1">
      <alignment vertical="center"/>
    </xf>
    <xf numFmtId="0" fontId="16" fillId="0" borderId="158" xfId="0" applyFont="1" applyFill="1" applyBorder="1" applyAlignment="1" applyProtection="1">
      <alignment horizontal="right" vertical="center"/>
    </xf>
    <xf numFmtId="0" fontId="25" fillId="0" borderId="105" xfId="0" applyFont="1" applyFill="1" applyBorder="1" applyAlignment="1" applyProtection="1">
      <alignment horizontal="right" vertical="center"/>
    </xf>
    <xf numFmtId="0" fontId="28" fillId="3" borderId="53"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1" fontId="115" fillId="3" borderId="19" xfId="0" applyNumberFormat="1" applyFont="1" applyFill="1" applyBorder="1" applyAlignment="1" applyProtection="1">
      <alignment horizontal="center" vertical="center"/>
      <protection locked="0"/>
    </xf>
    <xf numFmtId="0" fontId="28" fillId="0" borderId="19" xfId="0" applyFont="1" applyBorder="1" applyAlignment="1">
      <alignment horizontal="right" vertical="center"/>
    </xf>
    <xf numFmtId="166" fontId="28" fillId="3" borderId="40" xfId="0" applyNumberFormat="1" applyFont="1" applyFill="1" applyBorder="1" applyAlignment="1" applyProtection="1">
      <alignment vertical="center"/>
      <protection locked="0"/>
    </xf>
    <xf numFmtId="0" fontId="25" fillId="0" borderId="101" xfId="0" applyFont="1" applyFill="1" applyBorder="1" applyAlignment="1" applyProtection="1">
      <alignment horizontal="right" vertical="center"/>
    </xf>
    <xf numFmtId="166" fontId="14" fillId="3" borderId="40" xfId="0" applyNumberFormat="1" applyFont="1" applyFill="1" applyBorder="1" applyAlignment="1" applyProtection="1">
      <alignment vertical="center"/>
    </xf>
    <xf numFmtId="0" fontId="28" fillId="3" borderId="53" xfId="0" applyFont="1" applyFill="1" applyBorder="1" applyAlignment="1" applyProtection="1">
      <alignment horizontal="center" vertical="center"/>
    </xf>
    <xf numFmtId="1" fontId="115" fillId="3" borderId="19" xfId="0" applyNumberFormat="1" applyFont="1" applyFill="1" applyBorder="1" applyAlignment="1" applyProtection="1">
      <alignment horizontal="center" vertical="center"/>
    </xf>
    <xf numFmtId="0" fontId="28" fillId="0" borderId="19" xfId="0" applyFont="1" applyBorder="1" applyAlignment="1" applyProtection="1">
      <alignment horizontal="right" vertical="center"/>
    </xf>
    <xf numFmtId="0" fontId="0" fillId="0" borderId="8" xfId="0" applyBorder="1"/>
    <xf numFmtId="165" fontId="16" fillId="1" borderId="136" xfId="0" applyNumberFormat="1" applyFont="1" applyFill="1" applyBorder="1" applyAlignment="1" applyProtection="1">
      <alignment horizontal="right" vertical="center"/>
    </xf>
    <xf numFmtId="0" fontId="70" fillId="0" borderId="159" xfId="0" applyFont="1" applyFill="1" applyBorder="1" applyAlignment="1" applyProtection="1">
      <alignment horizontal="right" vertical="center"/>
    </xf>
    <xf numFmtId="0" fontId="99" fillId="0" borderId="0" xfId="0" applyFont="1" applyBorder="1" applyAlignment="1" applyProtection="1">
      <alignment horizontal="center" vertical="center"/>
    </xf>
    <xf numFmtId="173" fontId="7" fillId="12" borderId="6" xfId="0" applyNumberFormat="1" applyFont="1" applyFill="1" applyBorder="1" applyAlignment="1" applyProtection="1">
      <alignment horizontal="right" vertical="center"/>
      <protection locked="0"/>
    </xf>
    <xf numFmtId="173" fontId="4" fillId="12" borderId="8" xfId="0" applyNumberFormat="1" applyFont="1" applyFill="1" applyBorder="1" applyAlignment="1" applyProtection="1">
      <alignment horizontal="right" vertical="center"/>
    </xf>
    <xf numFmtId="166" fontId="16" fillId="3" borderId="30" xfId="0" applyNumberFormat="1" applyFont="1" applyFill="1" applyBorder="1" applyAlignment="1" applyProtection="1">
      <alignment horizontal="right" vertical="center"/>
      <protection locked="0"/>
    </xf>
    <xf numFmtId="166" fontId="20" fillId="0" borderId="168" xfId="0" applyNumberFormat="1" applyFont="1" applyFill="1" applyBorder="1" applyAlignment="1" applyProtection="1">
      <alignment vertical="center"/>
    </xf>
    <xf numFmtId="166" fontId="16" fillId="11" borderId="169" xfId="0" applyNumberFormat="1" applyFont="1" applyFill="1" applyBorder="1" applyAlignment="1" applyProtection="1">
      <alignment vertical="center"/>
    </xf>
    <xf numFmtId="166" fontId="4" fillId="11" borderId="156" xfId="0" applyNumberFormat="1" applyFont="1" applyFill="1" applyBorder="1" applyAlignment="1" applyProtection="1">
      <alignment vertical="center"/>
    </xf>
    <xf numFmtId="166" fontId="16" fillId="3" borderId="136" xfId="0" applyNumberFormat="1" applyFont="1" applyFill="1" applyBorder="1" applyAlignment="1" applyProtection="1">
      <alignment horizontal="right" vertical="center"/>
      <protection locked="0"/>
    </xf>
    <xf numFmtId="166" fontId="4" fillId="0" borderId="152" xfId="0" applyNumberFormat="1" applyFont="1" applyBorder="1" applyAlignment="1" applyProtection="1">
      <alignment vertical="center"/>
    </xf>
    <xf numFmtId="166" fontId="20" fillId="0" borderId="57" xfId="0" applyNumberFormat="1" applyFont="1" applyFill="1" applyBorder="1" applyAlignment="1" applyProtection="1">
      <alignment horizontal="right" vertical="center"/>
    </xf>
    <xf numFmtId="166" fontId="16" fillId="11" borderId="139" xfId="0" applyNumberFormat="1" applyFont="1" applyFill="1" applyBorder="1" applyAlignment="1" applyProtection="1">
      <alignment horizontal="right" vertical="center"/>
    </xf>
    <xf numFmtId="166" fontId="16" fillId="3" borderId="81" xfId="0" applyNumberFormat="1" applyFont="1" applyFill="1" applyBorder="1" applyAlignment="1" applyProtection="1">
      <alignment horizontal="right" vertical="center"/>
      <protection locked="0"/>
    </xf>
    <xf numFmtId="0" fontId="73" fillId="0" borderId="170" xfId="0" applyFont="1" applyBorder="1" applyAlignment="1">
      <alignment horizontal="left" vertical="top" wrapText="1"/>
    </xf>
    <xf numFmtId="0" fontId="73" fillId="0" borderId="171" xfId="0" applyFont="1" applyBorder="1" applyAlignment="1">
      <alignment horizontal="center" vertical="top" wrapText="1"/>
    </xf>
    <xf numFmtId="0" fontId="73" fillId="0" borderId="162" xfId="0" applyFont="1" applyBorder="1" applyAlignment="1">
      <alignment horizontal="left" vertical="top" wrapText="1"/>
    </xf>
    <xf numFmtId="0" fontId="73" fillId="0" borderId="160" xfId="0" applyFont="1" applyBorder="1" applyAlignment="1">
      <alignment horizontal="center" vertical="top" wrapText="1"/>
    </xf>
    <xf numFmtId="0" fontId="15" fillId="0" borderId="0" xfId="0" applyFont="1" applyAlignment="1">
      <alignment horizontal="center" vertical="top" wrapText="1"/>
    </xf>
    <xf numFmtId="0" fontId="66"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18" fillId="0" borderId="0" xfId="0" applyFont="1" applyAlignment="1">
      <alignment vertical="center" wrapText="1"/>
    </xf>
    <xf numFmtId="0" fontId="96" fillId="0" borderId="0" xfId="0" applyFont="1" applyAlignment="1">
      <alignment vertical="center" wrapText="1"/>
    </xf>
    <xf numFmtId="0" fontId="73" fillId="0" borderId="0" xfId="0" applyFont="1" applyAlignment="1">
      <alignment vertical="center" wrapText="1"/>
    </xf>
    <xf numFmtId="185" fontId="69" fillId="0" borderId="19" xfId="0" applyNumberFormat="1" applyFont="1" applyBorder="1" applyAlignment="1" applyProtection="1">
      <alignment horizontal="left" vertical="center"/>
    </xf>
    <xf numFmtId="180" fontId="34" fillId="0" borderId="0" xfId="0" applyNumberFormat="1" applyFont="1" applyBorder="1" applyAlignment="1">
      <alignment horizontal="left" vertical="center"/>
    </xf>
    <xf numFmtId="0" fontId="83" fillId="0" borderId="16" xfId="0" applyFont="1" applyBorder="1" applyAlignment="1">
      <alignment horizontal="left" vertical="center"/>
    </xf>
    <xf numFmtId="0" fontId="17" fillId="0" borderId="78" xfId="0" applyFont="1" applyBorder="1" applyAlignment="1" applyProtection="1">
      <alignment horizontal="right" vertical="center"/>
    </xf>
    <xf numFmtId="9" fontId="4" fillId="0" borderId="0" xfId="15" applyNumberFormat="1" applyFont="1" applyFill="1" applyBorder="1" applyAlignment="1" applyProtection="1">
      <alignment vertical="center"/>
    </xf>
    <xf numFmtId="0" fontId="4" fillId="0" borderId="4" xfId="0" applyFont="1" applyBorder="1" applyAlignment="1" applyProtection="1">
      <alignment horizontal="center" vertical="center"/>
    </xf>
    <xf numFmtId="0" fontId="60"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14" fillId="0" borderId="9" xfId="0" applyFont="1" applyBorder="1"/>
    <xf numFmtId="0" fontId="4" fillId="0" borderId="10" xfId="0" applyFont="1" applyBorder="1"/>
    <xf numFmtId="0" fontId="4" fillId="0" borderId="11" xfId="0" applyFont="1" applyBorder="1"/>
    <xf numFmtId="0" fontId="14" fillId="0" borderId="2" xfId="0" applyFont="1" applyBorder="1"/>
    <xf numFmtId="0" fontId="4" fillId="0" borderId="0" xfId="0" applyFont="1" applyBorder="1"/>
    <xf numFmtId="0" fontId="15" fillId="0" borderId="0" xfId="0" applyFont="1" applyBorder="1"/>
    <xf numFmtId="0" fontId="4" fillId="0" borderId="8" xfId="0" applyFont="1" applyFill="1" applyBorder="1"/>
    <xf numFmtId="0" fontId="4" fillId="0" borderId="8" xfId="0" applyFont="1" applyBorder="1"/>
    <xf numFmtId="0" fontId="7" fillId="0" borderId="0" xfId="0" applyFont="1" applyBorder="1" applyAlignment="1">
      <alignment horizontal="right"/>
    </xf>
    <xf numFmtId="185" fontId="7" fillId="0" borderId="104" xfId="0" applyNumberFormat="1" applyFont="1" applyBorder="1" applyAlignment="1">
      <alignment horizontal="left"/>
    </xf>
    <xf numFmtId="0" fontId="4" fillId="0" borderId="0" xfId="0" applyFont="1" applyBorder="1" applyAlignment="1">
      <alignment horizontal="right"/>
    </xf>
    <xf numFmtId="179" fontId="4" fillId="0" borderId="196" xfId="0" quotePrefix="1" applyNumberFormat="1" applyFont="1" applyBorder="1" applyAlignment="1">
      <alignment horizontal="center"/>
    </xf>
    <xf numFmtId="0" fontId="4" fillId="0" borderId="197" xfId="0" applyFont="1" applyBorder="1"/>
    <xf numFmtId="0" fontId="7" fillId="0" borderId="0" xfId="0" applyFont="1" applyBorder="1"/>
    <xf numFmtId="0" fontId="4" fillId="0" borderId="104" xfId="0" applyFont="1" applyBorder="1" applyAlignment="1">
      <alignment vertical="center"/>
    </xf>
    <xf numFmtId="0" fontId="4" fillId="0" borderId="100" xfId="0" applyFont="1" applyBorder="1"/>
    <xf numFmtId="0" fontId="4" fillId="0" borderId="198" xfId="0" applyFont="1" applyBorder="1"/>
    <xf numFmtId="0" fontId="7" fillId="0" borderId="100" xfId="0" applyFont="1" applyBorder="1"/>
    <xf numFmtId="180" fontId="4" fillId="0" borderId="158" xfId="0" applyNumberFormat="1" applyFont="1" applyBorder="1" applyAlignment="1">
      <alignment horizontal="center"/>
    </xf>
    <xf numFmtId="0" fontId="4" fillId="0" borderId="158" xfId="0" applyFont="1" applyBorder="1"/>
    <xf numFmtId="49" fontId="4" fillId="0" borderId="0" xfId="0" applyNumberFormat="1" applyFont="1" applyBorder="1"/>
    <xf numFmtId="0" fontId="7" fillId="0" borderId="104" xfId="0" applyFont="1" applyFill="1" applyBorder="1"/>
    <xf numFmtId="0" fontId="4" fillId="0" borderId="104" xfId="0" applyFont="1" applyFill="1" applyBorder="1"/>
    <xf numFmtId="0" fontId="4" fillId="0" borderId="104" xfId="0" applyFont="1" applyBorder="1"/>
    <xf numFmtId="0" fontId="4" fillId="0" borderId="196" xfId="0" applyFont="1" applyBorder="1"/>
    <xf numFmtId="49" fontId="4" fillId="0" borderId="8" xfId="0" applyNumberFormat="1" applyFont="1" applyBorder="1" applyAlignment="1">
      <alignment horizontal="center"/>
    </xf>
    <xf numFmtId="49" fontId="4" fillId="0" borderId="0" xfId="0" applyNumberFormat="1" applyFont="1"/>
    <xf numFmtId="0" fontId="7" fillId="0" borderId="0" xfId="0" applyFont="1" applyBorder="1" applyAlignment="1">
      <alignment horizontal="center"/>
    </xf>
    <xf numFmtId="49" fontId="4" fillId="0" borderId="104" xfId="0" applyNumberFormat="1" applyFont="1" applyBorder="1" applyAlignment="1"/>
    <xf numFmtId="0" fontId="4" fillId="0" borderId="97" xfId="0" applyFont="1" applyBorder="1"/>
    <xf numFmtId="0" fontId="15" fillId="0" borderId="2" xfId="0" quotePrefix="1" applyFont="1" applyBorder="1" applyAlignment="1">
      <alignment horizontal="center"/>
    </xf>
    <xf numFmtId="0" fontId="7" fillId="0" borderId="139" xfId="0" applyFont="1" applyBorder="1" applyAlignment="1">
      <alignment horizontal="center"/>
    </xf>
    <xf numFmtId="0" fontId="4" fillId="0" borderId="0" xfId="0" applyFont="1" applyFill="1" applyBorder="1"/>
    <xf numFmtId="0" fontId="4" fillId="0" borderId="83" xfId="0" applyFont="1" applyBorder="1"/>
    <xf numFmtId="173" fontId="4" fillId="0" borderId="199" xfId="0" applyNumberFormat="1" applyFont="1" applyBorder="1"/>
    <xf numFmtId="0" fontId="4" fillId="0" borderId="13" xfId="0" applyFont="1" applyBorder="1"/>
    <xf numFmtId="166" fontId="4" fillId="0" borderId="139" xfId="0" applyNumberFormat="1" applyFont="1" applyBorder="1"/>
    <xf numFmtId="0" fontId="4" fillId="0" borderId="139" xfId="0" applyFont="1" applyBorder="1"/>
    <xf numFmtId="0" fontId="7" fillId="0" borderId="68" xfId="0" applyFont="1" applyBorder="1" applyAlignment="1">
      <alignment horizontal="center"/>
    </xf>
    <xf numFmtId="0" fontId="4" fillId="0" borderId="68" xfId="0" applyFont="1" applyBorder="1"/>
    <xf numFmtId="166" fontId="4" fillId="0" borderId="200" xfId="0" applyNumberFormat="1" applyFont="1" applyBorder="1"/>
    <xf numFmtId="173" fontId="4" fillId="0" borderId="139" xfId="0" applyNumberFormat="1" applyFont="1" applyBorder="1"/>
    <xf numFmtId="173" fontId="4" fillId="0" borderId="201" xfId="0" applyNumberFormat="1" applyFont="1" applyBorder="1"/>
    <xf numFmtId="173" fontId="4" fillId="0" borderId="202" xfId="0" applyNumberFormat="1" applyFont="1" applyBorder="1"/>
    <xf numFmtId="173" fontId="4" fillId="0" borderId="52" xfId="0" applyNumberFormat="1" applyFont="1" applyBorder="1"/>
    <xf numFmtId="173" fontId="4" fillId="0" borderId="203" xfId="0" applyNumberFormat="1" applyFont="1" applyBorder="1"/>
    <xf numFmtId="0" fontId="7" fillId="0" borderId="2" xfId="0" applyFont="1" applyBorder="1" applyAlignment="1">
      <alignment horizontal="right"/>
    </xf>
    <xf numFmtId="173" fontId="7" fillId="0" borderId="204" xfId="0" applyNumberFormat="1" applyFont="1" applyBorder="1"/>
    <xf numFmtId="173" fontId="7" fillId="0" borderId="205" xfId="0" applyNumberFormat="1" applyFont="1" applyBorder="1"/>
    <xf numFmtId="0" fontId="4" fillId="0" borderId="12" xfId="0" applyFont="1" applyBorder="1"/>
    <xf numFmtId="0" fontId="7" fillId="0" borderId="46" xfId="0" applyFont="1" applyBorder="1" applyAlignment="1">
      <alignment vertical="center" wrapText="1"/>
    </xf>
    <xf numFmtId="0" fontId="7" fillId="0" borderId="53"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54" xfId="0" applyFont="1" applyFill="1" applyBorder="1" applyAlignment="1">
      <alignment horizontal="left"/>
    </xf>
    <xf numFmtId="0" fontId="4" fillId="0" borderId="53" xfId="0" applyFont="1" applyBorder="1"/>
    <xf numFmtId="0" fontId="7" fillId="0" borderId="0" xfId="0" applyFont="1" applyFill="1" applyBorder="1"/>
    <xf numFmtId="173" fontId="7" fillId="0" borderId="204" xfId="0" applyNumberFormat="1" applyFont="1" applyBorder="1" applyAlignment="1">
      <alignment vertical="center"/>
    </xf>
    <xf numFmtId="0" fontId="14" fillId="0" borderId="68" xfId="0" applyFont="1" applyBorder="1"/>
    <xf numFmtId="0" fontId="4" fillId="0" borderId="54" xfId="0" applyFont="1" applyBorder="1"/>
    <xf numFmtId="173" fontId="4" fillId="0" borderId="200" xfId="0" applyNumberFormat="1" applyFont="1" applyBorder="1"/>
    <xf numFmtId="0" fontId="4" fillId="0" borderId="54" xfId="0" applyFont="1" applyFill="1" applyBorder="1"/>
    <xf numFmtId="173" fontId="4" fillId="0" borderId="204" xfId="0" applyNumberFormat="1" applyFont="1" applyBorder="1"/>
    <xf numFmtId="173" fontId="4" fillId="0" borderId="0" xfId="0" applyNumberFormat="1" applyFont="1" applyBorder="1"/>
    <xf numFmtId="0" fontId="15" fillId="0" borderId="68"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3" fontId="4" fillId="0" borderId="77" xfId="0" applyNumberFormat="1" applyFont="1" applyBorder="1" applyAlignment="1"/>
    <xf numFmtId="173" fontId="4" fillId="0" borderId="19" xfId="0" applyNumberFormat="1" applyFont="1" applyBorder="1"/>
    <xf numFmtId="173" fontId="4" fillId="0" borderId="206" xfId="0" applyNumberFormat="1" applyFont="1" applyBorder="1"/>
    <xf numFmtId="0" fontId="4" fillId="0" borderId="0" xfId="0" applyFont="1" applyFill="1" applyBorder="1" applyAlignment="1"/>
    <xf numFmtId="173" fontId="4" fillId="0" borderId="204" xfId="0" applyNumberFormat="1" applyFont="1" applyBorder="1" applyAlignment="1"/>
    <xf numFmtId="0" fontId="4" fillId="0" borderId="32" xfId="0" applyFont="1" applyFill="1" applyBorder="1"/>
    <xf numFmtId="0" fontId="4" fillId="0" borderId="46" xfId="0" applyFont="1" applyBorder="1"/>
    <xf numFmtId="0" fontId="4" fillId="0" borderId="32" xfId="0" applyFont="1" applyBorder="1"/>
    <xf numFmtId="0" fontId="7" fillId="0" borderId="53" xfId="0" applyFont="1" applyBorder="1"/>
    <xf numFmtId="173" fontId="7" fillId="0" borderId="199" xfId="0" applyNumberFormat="1" applyFont="1" applyBorder="1"/>
    <xf numFmtId="9" fontId="4" fillId="0" borderId="0" xfId="0" applyNumberFormat="1" applyFont="1" applyBorder="1" applyAlignment="1">
      <alignment horizontal="center"/>
    </xf>
    <xf numFmtId="173" fontId="4" fillId="0" borderId="0" xfId="0" applyNumberFormat="1" applyFont="1" applyBorder="1" applyAlignment="1">
      <alignment horizontal="left"/>
    </xf>
    <xf numFmtId="173" fontId="4" fillId="0" borderId="134" xfId="0" applyNumberFormat="1" applyFont="1" applyBorder="1"/>
    <xf numFmtId="0" fontId="4" fillId="0" borderId="13" xfId="0" applyFont="1" applyFill="1" applyBorder="1"/>
    <xf numFmtId="173" fontId="7" fillId="0" borderId="134" xfId="0" applyNumberFormat="1" applyFont="1" applyBorder="1"/>
    <xf numFmtId="0" fontId="14" fillId="0" borderId="207" xfId="0" applyFont="1" applyBorder="1"/>
    <xf numFmtId="0" fontId="120" fillId="0" borderId="6" xfId="0" applyFont="1" applyBorder="1"/>
    <xf numFmtId="0" fontId="4" fillId="0" borderId="6" xfId="0" applyFont="1" applyBorder="1"/>
    <xf numFmtId="0" fontId="4" fillId="0" borderId="14" xfId="0" applyFont="1" applyBorder="1"/>
    <xf numFmtId="0" fontId="121" fillId="0" borderId="9" xfId="0" applyFont="1" applyBorder="1"/>
    <xf numFmtId="0" fontId="121" fillId="0" borderId="10" xfId="0" applyFont="1" applyBorder="1"/>
    <xf numFmtId="0" fontId="7" fillId="0" borderId="10" xfId="0" applyFont="1" applyBorder="1"/>
    <xf numFmtId="0" fontId="4" fillId="0" borderId="9" xfId="0" applyFont="1" applyBorder="1"/>
    <xf numFmtId="0" fontId="4" fillId="0" borderId="2" xfId="0" applyFont="1" applyBorder="1"/>
    <xf numFmtId="0" fontId="7" fillId="0" borderId="0" xfId="0" applyFont="1"/>
    <xf numFmtId="0" fontId="7" fillId="0" borderId="0" xfId="0" applyFont="1" applyAlignment="1">
      <alignment horizontal="center"/>
    </xf>
    <xf numFmtId="181" fontId="4" fillId="0" borderId="104" xfId="0" applyNumberFormat="1" applyFont="1" applyBorder="1" applyAlignment="1">
      <alignment horizontal="center"/>
    </xf>
    <xf numFmtId="0" fontId="7" fillId="0" borderId="0" xfId="0" applyFont="1" applyAlignment="1"/>
    <xf numFmtId="185" fontId="4" fillId="0" borderId="196" xfId="0" applyNumberFormat="1" applyFont="1" applyFill="1" applyBorder="1" applyAlignment="1">
      <alignment horizontal="center"/>
    </xf>
    <xf numFmtId="0" fontId="7" fillId="0" borderId="2" xfId="0" applyFont="1" applyBorder="1"/>
    <xf numFmtId="0" fontId="4" fillId="0" borderId="0" xfId="0" applyFont="1" applyAlignment="1">
      <alignment horizontal="center"/>
    </xf>
    <xf numFmtId="0" fontId="4" fillId="0" borderId="104" xfId="0" applyFont="1" applyBorder="1" applyAlignment="1">
      <alignment horizontal="right"/>
    </xf>
    <xf numFmtId="0" fontId="4" fillId="0" borderId="0" xfId="0" applyFont="1" applyAlignment="1">
      <alignment horizontal="right"/>
    </xf>
    <xf numFmtId="0" fontId="7" fillId="0" borderId="20" xfId="0" applyFont="1" applyBorder="1"/>
    <xf numFmtId="0" fontId="7" fillId="0" borderId="21" xfId="0" applyFont="1" applyBorder="1"/>
    <xf numFmtId="0" fontId="4" fillId="0" borderId="21" xfId="0" applyFont="1" applyBorder="1"/>
    <xf numFmtId="0" fontId="4" fillId="0" borderId="46" xfId="0" applyFont="1" applyBorder="1" applyAlignment="1"/>
    <xf numFmtId="0" fontId="7" fillId="0" borderId="47" xfId="0" applyFont="1" applyBorder="1"/>
    <xf numFmtId="0" fontId="4" fillId="0" borderId="24" xfId="0" applyFont="1" applyBorder="1" applyAlignment="1">
      <alignment horizontal="center"/>
    </xf>
    <xf numFmtId="0" fontId="4" fillId="0" borderId="21" xfId="0" applyFont="1" applyBorder="1" applyAlignment="1">
      <alignment horizontal="center"/>
    </xf>
    <xf numFmtId="0" fontId="4" fillId="0" borderId="45" xfId="0" applyFont="1" applyBorder="1" applyAlignment="1">
      <alignment horizontal="center"/>
    </xf>
    <xf numFmtId="0" fontId="4" fillId="0" borderId="32" xfId="0" applyFont="1" applyBorder="1" applyAlignment="1">
      <alignment horizontal="center"/>
    </xf>
    <xf numFmtId="0" fontId="4" fillId="0" borderId="83" xfId="0" applyFont="1" applyBorder="1" applyAlignment="1">
      <alignment horizontal="center"/>
    </xf>
    <xf numFmtId="0" fontId="7" fillId="13" borderId="31" xfId="0" applyFont="1" applyFill="1" applyBorder="1" applyAlignment="1">
      <alignment horizontal="centerContinuous"/>
    </xf>
    <xf numFmtId="0" fontId="4" fillId="0" borderId="46" xfId="0" applyFont="1" applyBorder="1" applyAlignment="1">
      <alignment horizontal="centerContinuous"/>
    </xf>
    <xf numFmtId="0" fontId="4" fillId="0" borderId="32" xfId="0" applyFont="1" applyBorder="1" applyAlignment="1"/>
    <xf numFmtId="0" fontId="7" fillId="0" borderId="46" xfId="0" applyFont="1" applyBorder="1" applyAlignment="1"/>
    <xf numFmtId="0" fontId="7" fillId="0" borderId="32" xfId="0" applyFont="1" applyBorder="1" applyAlignment="1">
      <alignment horizontal="centerContinuous"/>
    </xf>
    <xf numFmtId="0" fontId="7" fillId="0" borderId="46" xfId="0" applyFont="1" applyBorder="1" applyAlignment="1">
      <alignment horizontal="centerContinuous"/>
    </xf>
    <xf numFmtId="0" fontId="4" fillId="0" borderId="32" xfId="0" applyFont="1" applyBorder="1" applyAlignment="1">
      <alignment horizontal="centerContinuous"/>
    </xf>
    <xf numFmtId="0" fontId="4" fillId="0" borderId="52" xfId="0" applyFont="1" applyBorder="1" applyAlignment="1">
      <alignment horizontal="center"/>
    </xf>
    <xf numFmtId="0" fontId="4" fillId="0" borderId="46" xfId="0" applyFont="1" applyBorder="1" applyAlignment="1">
      <alignment horizontal="center"/>
    </xf>
    <xf numFmtId="0" fontId="4" fillId="0" borderId="0" xfId="0" applyFont="1" applyBorder="1" applyAlignment="1">
      <alignment horizontal="center"/>
    </xf>
    <xf numFmtId="0" fontId="4" fillId="0" borderId="139" xfId="0" applyFont="1" applyBorder="1" applyAlignment="1">
      <alignment horizontal="center"/>
    </xf>
    <xf numFmtId="0" fontId="7" fillId="13" borderId="33" xfId="0" applyFont="1" applyFill="1" applyBorder="1" applyAlignment="1">
      <alignment horizontal="center"/>
    </xf>
    <xf numFmtId="0" fontId="4" fillId="0" borderId="29" xfId="0" applyFont="1" applyBorder="1" applyAlignment="1"/>
    <xf numFmtId="0" fontId="4" fillId="0" borderId="13" xfId="0" applyFont="1" applyBorder="1" applyAlignment="1">
      <alignment horizontal="centerContinuous"/>
    </xf>
    <xf numFmtId="0" fontId="4" fillId="0" borderId="29" xfId="0" applyFont="1" applyBorder="1" applyAlignment="1">
      <alignment horizontal="centerContinuous"/>
    </xf>
    <xf numFmtId="0" fontId="4" fillId="0" borderId="13"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125" xfId="0" applyFont="1" applyBorder="1" applyAlignment="1">
      <alignment horizontal="center"/>
    </xf>
    <xf numFmtId="0" fontId="7" fillId="0" borderId="122" xfId="0" applyFont="1" applyBorder="1" applyAlignment="1">
      <alignment horizontal="center"/>
    </xf>
    <xf numFmtId="0" fontId="4" fillId="0" borderId="208" xfId="0" quotePrefix="1" applyFont="1" applyBorder="1"/>
    <xf numFmtId="0" fontId="4" fillId="0" borderId="106" xfId="0" applyFont="1" applyBorder="1"/>
    <xf numFmtId="0" fontId="4" fillId="0" borderId="208" xfId="0" applyFont="1" applyBorder="1"/>
    <xf numFmtId="0" fontId="4" fillId="0" borderId="107" xfId="0" applyFont="1" applyBorder="1"/>
    <xf numFmtId="184" fontId="4" fillId="0" borderId="208" xfId="0" applyNumberFormat="1" applyFont="1" applyBorder="1" applyAlignment="1">
      <alignment horizontal="center"/>
    </xf>
    <xf numFmtId="184" fontId="4" fillId="0" borderId="200" xfId="0" quotePrefix="1" applyNumberFormat="1" applyFont="1" applyBorder="1" applyAlignment="1">
      <alignment horizontal="center"/>
    </xf>
    <xf numFmtId="184" fontId="4" fillId="0" borderId="106" xfId="0" applyNumberFormat="1" applyFont="1" applyBorder="1" applyAlignment="1">
      <alignment horizontal="center"/>
    </xf>
    <xf numFmtId="184" fontId="4" fillId="0" borderId="200" xfId="0" applyNumberFormat="1" applyFont="1" applyBorder="1" applyAlignment="1">
      <alignment horizontal="center"/>
    </xf>
    <xf numFmtId="0" fontId="4" fillId="0" borderId="209" xfId="0" quotePrefix="1" applyFont="1" applyBorder="1" applyAlignment="1">
      <alignment horizontal="center"/>
    </xf>
    <xf numFmtId="0" fontId="7" fillId="0" borderId="33" xfId="0" applyFont="1" applyBorder="1" applyAlignment="1">
      <alignment horizontal="center"/>
    </xf>
    <xf numFmtId="0" fontId="4" fillId="0" borderId="29" xfId="0" quotePrefix="1" applyFont="1" applyBorder="1"/>
    <xf numFmtId="0" fontId="4" fillId="0" borderId="178" xfId="0" quotePrefix="1" applyFont="1" applyBorder="1" applyAlignment="1">
      <alignment horizontal="center"/>
    </xf>
    <xf numFmtId="0" fontId="4" fillId="0" borderId="29" xfId="0" applyFont="1" applyBorder="1"/>
    <xf numFmtId="0" fontId="4" fillId="0" borderId="178" xfId="0" applyFont="1" applyBorder="1"/>
    <xf numFmtId="184" fontId="4" fillId="0" borderId="29" xfId="0" applyNumberFormat="1" applyFont="1" applyBorder="1" applyAlignment="1">
      <alignment horizontal="center"/>
    </xf>
    <xf numFmtId="184" fontId="4" fillId="0" borderId="29" xfId="0" quotePrefix="1" applyNumberFormat="1" applyFont="1" applyBorder="1" applyAlignment="1">
      <alignment horizontal="center"/>
    </xf>
    <xf numFmtId="184" fontId="4" fillId="0" borderId="30" xfId="0" applyNumberFormat="1" applyFont="1" applyBorder="1" applyAlignment="1">
      <alignment horizontal="center"/>
    </xf>
    <xf numFmtId="0" fontId="4" fillId="0" borderId="125" xfId="0" quotePrefix="1" applyFont="1" applyBorder="1" applyAlignment="1">
      <alignment horizontal="center"/>
    </xf>
    <xf numFmtId="0" fontId="4" fillId="0" borderId="31" xfId="0" applyFont="1" applyBorder="1"/>
    <xf numFmtId="0" fontId="4" fillId="0" borderId="0" xfId="0" quotePrefix="1" applyFont="1" applyBorder="1"/>
    <xf numFmtId="0" fontId="7" fillId="0" borderId="210" xfId="0" applyFont="1" applyBorder="1" applyAlignment="1">
      <alignment horizontal="center"/>
    </xf>
    <xf numFmtId="184" fontId="7" fillId="0" borderId="211" xfId="0" applyNumberFormat="1" applyFont="1" applyBorder="1" applyAlignment="1">
      <alignment horizontal="center"/>
    </xf>
    <xf numFmtId="0" fontId="4" fillId="0" borderId="0" xfId="0" quotePrefix="1" applyFont="1" applyBorder="1" applyAlignment="1">
      <alignment horizontal="center"/>
    </xf>
    <xf numFmtId="0" fontId="7" fillId="0" borderId="212" xfId="0" applyFont="1" applyBorder="1"/>
    <xf numFmtId="0" fontId="4" fillId="0" borderId="12" xfId="0" quotePrefix="1" applyFont="1" applyBorder="1" applyAlignment="1">
      <alignment horizontal="center"/>
    </xf>
    <xf numFmtId="0" fontId="4" fillId="0" borderId="142" xfId="0" applyFont="1" applyBorder="1" applyAlignment="1">
      <alignment horizontal="center"/>
    </xf>
    <xf numFmtId="0" fontId="7" fillId="0" borderId="74" xfId="0" applyFont="1" applyBorder="1" applyAlignment="1">
      <alignment horizontal="center"/>
    </xf>
    <xf numFmtId="0" fontId="7" fillId="0" borderId="43" xfId="0" applyFont="1" applyBorder="1" applyAlignment="1">
      <alignment horizontal="center"/>
    </xf>
    <xf numFmtId="0" fontId="4" fillId="0" borderId="7" xfId="0" applyFont="1" applyBorder="1"/>
    <xf numFmtId="0" fontId="4" fillId="0" borderId="6" xfId="0" quotePrefix="1" applyFont="1" applyBorder="1"/>
    <xf numFmtId="0" fontId="4" fillId="0" borderId="6" xfId="0" applyFont="1" applyBorder="1" applyAlignment="1">
      <alignment horizontal="center"/>
    </xf>
    <xf numFmtId="0" fontId="4" fillId="0" borderId="6" xfId="0" quotePrefix="1" applyFont="1" applyBorder="1" applyAlignment="1">
      <alignment horizontal="center"/>
    </xf>
    <xf numFmtId="0" fontId="7" fillId="0" borderId="213" xfId="0" applyFont="1" applyBorder="1"/>
    <xf numFmtId="0" fontId="7" fillId="0" borderId="147" xfId="0" applyFont="1" applyBorder="1" applyAlignment="1">
      <alignment horizontal="center"/>
    </xf>
    <xf numFmtId="184" fontId="7" fillId="0" borderId="14" xfId="0" quotePrefix="1" applyNumberFormat="1" applyFont="1" applyBorder="1" applyAlignment="1">
      <alignment horizontal="center"/>
    </xf>
    <xf numFmtId="0" fontId="4" fillId="0" borderId="8" xfId="0" quotePrefix="1" applyFont="1" applyBorder="1" applyAlignment="1">
      <alignment horizontal="center"/>
    </xf>
    <xf numFmtId="0" fontId="4" fillId="0" borderId="43" xfId="0" quotePrefix="1" applyFont="1" applyBorder="1" applyAlignment="1">
      <alignment horizontal="center"/>
    </xf>
    <xf numFmtId="0" fontId="4" fillId="0" borderId="20" xfId="0" applyFont="1" applyBorder="1"/>
    <xf numFmtId="0" fontId="4" fillId="0" borderId="214" xfId="0" applyFont="1" applyBorder="1"/>
    <xf numFmtId="0" fontId="7" fillId="0" borderId="215" xfId="0" applyFont="1" applyBorder="1" applyAlignment="1">
      <alignment horizontal="center"/>
    </xf>
    <xf numFmtId="0" fontId="4" fillId="0" borderId="39" xfId="0" applyFont="1" applyBorder="1"/>
    <xf numFmtId="0" fontId="7" fillId="0" borderId="33" xfId="0" applyFont="1" applyBorder="1" applyAlignment="1">
      <alignment horizontal="centerContinuous"/>
    </xf>
    <xf numFmtId="0" fontId="4" fillId="0" borderId="13" xfId="0" applyFont="1" applyBorder="1" applyAlignment="1"/>
    <xf numFmtId="0" fontId="7" fillId="0" borderId="29" xfId="0" applyFont="1" applyBorder="1" applyAlignment="1">
      <alignment horizontal="centerContinuous"/>
    </xf>
    <xf numFmtId="0" fontId="7" fillId="0" borderId="214" xfId="0" applyFont="1" applyBorder="1"/>
    <xf numFmtId="0" fontId="7" fillId="0" borderId="42" xfId="0" applyFont="1" applyBorder="1"/>
    <xf numFmtId="0" fontId="7" fillId="0" borderId="216" xfId="0" applyFont="1" applyBorder="1" applyAlignment="1">
      <alignment horizontal="center"/>
    </xf>
    <xf numFmtId="0" fontId="7" fillId="0" borderId="53" xfId="0" applyFont="1" applyBorder="1" applyAlignment="1"/>
    <xf numFmtId="0" fontId="7" fillId="0" borderId="8" xfId="0" applyFont="1" applyBorder="1" applyAlignment="1">
      <alignment horizontal="center"/>
    </xf>
    <xf numFmtId="0" fontId="7" fillId="0" borderId="29" xfId="0" applyFont="1" applyBorder="1" applyAlignment="1">
      <alignment horizontal="center"/>
    </xf>
    <xf numFmtId="0" fontId="7" fillId="0" borderId="217" xfId="0" applyFont="1" applyBorder="1" applyAlignment="1">
      <alignment horizontal="center"/>
    </xf>
    <xf numFmtId="0" fontId="7" fillId="0" borderId="30" xfId="0" applyFont="1" applyBorder="1" applyAlignment="1">
      <alignment horizontal="center"/>
    </xf>
    <xf numFmtId="0" fontId="7" fillId="0" borderId="97" xfId="0" applyFont="1" applyBorder="1" applyAlignment="1">
      <alignment horizontal="center"/>
    </xf>
    <xf numFmtId="0" fontId="4" fillId="0" borderId="218" xfId="0" quotePrefix="1" applyFont="1" applyBorder="1" applyAlignment="1">
      <alignment horizontal="center"/>
    </xf>
    <xf numFmtId="0" fontId="4" fillId="0" borderId="219" xfId="0" quotePrefix="1" applyFont="1" applyBorder="1"/>
    <xf numFmtId="0" fontId="4" fillId="0" borderId="219" xfId="0" applyFont="1" applyBorder="1" applyAlignment="1">
      <alignment horizontal="center"/>
    </xf>
    <xf numFmtId="0" fontId="4" fillId="0" borderId="105" xfId="0" quotePrefix="1" applyFont="1" applyBorder="1" applyAlignment="1">
      <alignment horizontal="center"/>
    </xf>
    <xf numFmtId="0" fontId="4" fillId="0" borderId="220" xfId="0" applyFont="1" applyBorder="1"/>
    <xf numFmtId="0" fontId="4" fillId="0" borderId="105" xfId="0" applyFont="1" applyBorder="1"/>
    <xf numFmtId="0" fontId="4" fillId="0" borderId="219" xfId="0" quotePrefix="1" applyFont="1" applyBorder="1" applyAlignment="1">
      <alignment horizontal="center"/>
    </xf>
    <xf numFmtId="2" fontId="4" fillId="0" borderId="221" xfId="0" applyNumberFormat="1" applyFont="1" applyBorder="1" applyAlignment="1">
      <alignment horizontal="center"/>
    </xf>
    <xf numFmtId="0" fontId="4" fillId="0" borderId="104" xfId="0" applyFont="1" applyBorder="1" applyAlignment="1">
      <alignment horizontal="center"/>
    </xf>
    <xf numFmtId="184" fontId="4" fillId="0" borderId="199" xfId="0" quotePrefix="1" applyNumberFormat="1" applyFont="1" applyBorder="1" applyAlignment="1">
      <alignment horizontal="center"/>
    </xf>
    <xf numFmtId="0" fontId="4" fillId="0" borderId="33" xfId="0" quotePrefix="1" applyFont="1" applyBorder="1" applyAlignment="1">
      <alignment horizontal="center"/>
    </xf>
    <xf numFmtId="0" fontId="4" fillId="0" borderId="29" xfId="0" quotePrefix="1" applyFont="1" applyBorder="1" applyAlignment="1">
      <alignment horizontal="center"/>
    </xf>
    <xf numFmtId="0" fontId="4" fillId="0" borderId="178" xfId="0" applyFont="1" applyBorder="1" applyAlignment="1">
      <alignment horizontal="right"/>
    </xf>
    <xf numFmtId="0" fontId="4" fillId="0" borderId="29" xfId="0" quotePrefix="1" applyFont="1" applyBorder="1" applyAlignment="1"/>
    <xf numFmtId="2" fontId="4" fillId="0" borderId="222" xfId="0" applyNumberFormat="1" applyFont="1" applyBorder="1" applyAlignment="1">
      <alignment horizontal="center"/>
    </xf>
    <xf numFmtId="184" fontId="4" fillId="0" borderId="125" xfId="0" applyNumberFormat="1" applyFont="1" applyBorder="1" applyAlignment="1">
      <alignment horizontal="center"/>
    </xf>
    <xf numFmtId="0" fontId="4" fillId="13" borderId="89" xfId="0" applyFont="1" applyFill="1" applyBorder="1"/>
    <xf numFmtId="0" fontId="4" fillId="13" borderId="1" xfId="0" applyFont="1" applyFill="1" applyBorder="1"/>
    <xf numFmtId="0" fontId="7" fillId="13" borderId="1" xfId="0" applyFont="1" applyFill="1" applyBorder="1"/>
    <xf numFmtId="0" fontId="7" fillId="0" borderId="223" xfId="0" applyFont="1" applyBorder="1" applyAlignment="1">
      <alignment horizontal="center"/>
    </xf>
    <xf numFmtId="2" fontId="7" fillId="0" borderId="224" xfId="0" applyNumberFormat="1" applyFont="1" applyBorder="1" applyAlignment="1">
      <alignment horizontal="center"/>
    </xf>
    <xf numFmtId="0" fontId="7" fillId="0" borderId="81" xfId="0" applyFont="1" applyBorder="1" applyAlignment="1">
      <alignment horizontal="center"/>
    </xf>
    <xf numFmtId="184" fontId="7" fillId="0" borderId="132" xfId="0" applyNumberFormat="1" applyFont="1" applyBorder="1" applyAlignment="1">
      <alignment horizontal="center"/>
    </xf>
    <xf numFmtId="0" fontId="4" fillId="0" borderId="45" xfId="0" applyFont="1" applyBorder="1"/>
    <xf numFmtId="0" fontId="7" fillId="0" borderId="21" xfId="0" applyFont="1" applyFill="1" applyBorder="1"/>
    <xf numFmtId="0" fontId="4" fillId="0" borderId="43" xfId="0" applyFont="1" applyBorder="1"/>
    <xf numFmtId="0" fontId="4" fillId="0" borderId="178" xfId="0" applyFont="1" applyBorder="1" applyAlignment="1">
      <alignment horizontal="centerContinuous"/>
    </xf>
    <xf numFmtId="0" fontId="4" fillId="0" borderId="43" xfId="0" applyFont="1" applyBorder="1" applyAlignment="1"/>
    <xf numFmtId="0" fontId="7" fillId="0" borderId="29" xfId="0" applyFont="1" applyFill="1" applyBorder="1" applyAlignment="1"/>
    <xf numFmtId="0" fontId="4" fillId="0" borderId="178" xfId="0" applyFont="1" applyFill="1" applyBorder="1"/>
    <xf numFmtId="0" fontId="7" fillId="0" borderId="13" xfId="0" applyFont="1" applyBorder="1" applyAlignment="1">
      <alignment horizontal="centerContinuous"/>
    </xf>
    <xf numFmtId="0" fontId="7" fillId="0" borderId="29" xfId="0" applyFont="1" applyBorder="1"/>
    <xf numFmtId="0" fontId="7" fillId="0" borderId="13" xfId="0" applyFont="1" applyBorder="1"/>
    <xf numFmtId="0" fontId="7" fillId="0" borderId="13" xfId="0" applyFont="1" applyBorder="1" applyAlignment="1">
      <alignment horizontal="center"/>
    </xf>
    <xf numFmtId="0" fontId="4" fillId="0" borderId="97" xfId="0" applyFont="1" applyBorder="1" applyAlignment="1"/>
    <xf numFmtId="1" fontId="4" fillId="0" borderId="122" xfId="0" applyNumberFormat="1" applyFont="1" applyFill="1" applyBorder="1" applyAlignment="1">
      <alignment horizontal="center"/>
    </xf>
    <xf numFmtId="0" fontId="4" fillId="13" borderId="208" xfId="0" applyFont="1" applyFill="1" applyBorder="1" applyAlignment="1">
      <alignment horizontal="centerContinuous"/>
    </xf>
    <xf numFmtId="0" fontId="4" fillId="13" borderId="107" xfId="0" applyFont="1" applyFill="1" applyBorder="1" applyAlignment="1">
      <alignment horizontal="centerContinuous"/>
    </xf>
    <xf numFmtId="173" fontId="4" fillId="0" borderId="208" xfId="0" applyNumberFormat="1" applyFont="1" applyBorder="1"/>
    <xf numFmtId="0" fontId="4" fillId="0" borderId="106" xfId="0" quotePrefix="1" applyFont="1" applyBorder="1"/>
    <xf numFmtId="4" fontId="4" fillId="0" borderId="208" xfId="0" applyNumberFormat="1" applyFont="1" applyBorder="1"/>
    <xf numFmtId="0" fontId="7" fillId="0" borderId="24" xfId="0" applyFont="1" applyBorder="1" applyAlignment="1">
      <alignment horizontal="center"/>
    </xf>
    <xf numFmtId="0" fontId="4" fillId="0" borderId="121" xfId="0" applyFont="1" applyBorder="1" applyAlignment="1">
      <alignment horizontal="center"/>
    </xf>
    <xf numFmtId="0" fontId="4" fillId="0" borderId="219" xfId="0" applyFont="1" applyFill="1" applyBorder="1" applyAlignment="1"/>
    <xf numFmtId="0" fontId="4" fillId="0" borderId="105" xfId="0" applyFont="1" applyFill="1" applyBorder="1" applyAlignment="1">
      <alignment horizontal="center"/>
    </xf>
    <xf numFmtId="173" fontId="4" fillId="0" borderId="104" xfId="0" applyNumberFormat="1" applyFont="1" applyBorder="1"/>
    <xf numFmtId="0" fontId="4" fillId="0" borderId="104" xfId="0" quotePrefix="1" applyFont="1" applyBorder="1"/>
    <xf numFmtId="4" fontId="4" fillId="0" borderId="219" xfId="0" applyNumberFormat="1" applyFont="1" applyBorder="1"/>
    <xf numFmtId="0" fontId="7" fillId="0" borderId="125" xfId="0" applyFont="1" applyBorder="1" applyAlignment="1">
      <alignment horizontal="center"/>
    </xf>
    <xf numFmtId="0" fontId="4" fillId="13" borderId="112" xfId="0" applyFont="1" applyFill="1" applyBorder="1"/>
    <xf numFmtId="184" fontId="4" fillId="0" borderId="225" xfId="0" applyNumberFormat="1" applyFont="1" applyBorder="1"/>
    <xf numFmtId="0" fontId="4" fillId="0" borderId="101" xfId="0" applyFont="1" applyBorder="1"/>
    <xf numFmtId="173" fontId="4" fillId="0" borderId="100" xfId="0" applyNumberFormat="1" applyFont="1" applyBorder="1"/>
    <xf numFmtId="0" fontId="4" fillId="0" borderId="100" xfId="0" quotePrefix="1" applyFont="1" applyBorder="1"/>
    <xf numFmtId="4" fontId="4" fillId="0" borderId="225" xfId="0" applyNumberFormat="1" applyFont="1" applyBorder="1"/>
    <xf numFmtId="184" fontId="7" fillId="0" borderId="46" xfId="0" applyNumberFormat="1" applyFont="1" applyBorder="1"/>
    <xf numFmtId="1" fontId="4" fillId="0" borderId="24" xfId="0" applyNumberFormat="1" applyFont="1" applyBorder="1"/>
    <xf numFmtId="184" fontId="4" fillId="0" borderId="46" xfId="0" applyNumberFormat="1" applyFont="1" applyBorder="1"/>
    <xf numFmtId="184" fontId="4" fillId="0" borderId="24" xfId="0" applyNumberFormat="1" applyFont="1" applyBorder="1"/>
    <xf numFmtId="4" fontId="4" fillId="0" borderId="46" xfId="0" applyNumberFormat="1" applyFont="1" applyBorder="1"/>
    <xf numFmtId="173" fontId="4" fillId="0" borderId="83" xfId="0" applyNumberFormat="1" applyFont="1" applyBorder="1" applyAlignment="1"/>
    <xf numFmtId="0" fontId="4" fillId="0" borderId="33" xfId="0" applyFont="1" applyFill="1" applyBorder="1"/>
    <xf numFmtId="184" fontId="4" fillId="0" borderId="29" xfId="0" applyNumberFormat="1" applyFont="1" applyBorder="1" applyAlignment="1">
      <alignment horizontal="right"/>
    </xf>
    <xf numFmtId="173" fontId="4" fillId="0" borderId="29" xfId="0" applyNumberFormat="1" applyFont="1" applyBorder="1"/>
    <xf numFmtId="0" fontId="4" fillId="0" borderId="13" xfId="0" quotePrefix="1" applyFont="1" applyBorder="1"/>
    <xf numFmtId="4" fontId="4" fillId="0" borderId="29" xfId="0" applyNumberFormat="1" applyFont="1" applyBorder="1"/>
    <xf numFmtId="1" fontId="4" fillId="0" borderId="30" xfId="0" applyNumberFormat="1" applyFont="1" applyBorder="1" applyAlignment="1">
      <alignment horizontal="center"/>
    </xf>
    <xf numFmtId="4" fontId="4" fillId="0" borderId="29" xfId="0" applyNumberFormat="1" applyFont="1" applyBorder="1" applyAlignment="1">
      <alignment horizontal="center"/>
    </xf>
    <xf numFmtId="4" fontId="4" fillId="0" borderId="125" xfId="0" applyNumberFormat="1" applyFont="1" applyBorder="1" applyAlignment="1">
      <alignment horizontal="center"/>
    </xf>
    <xf numFmtId="0" fontId="4" fillId="13" borderId="7" xfId="0" applyFont="1" applyFill="1" applyBorder="1"/>
    <xf numFmtId="0" fontId="4" fillId="13" borderId="6" xfId="0" applyFont="1" applyFill="1" applyBorder="1"/>
    <xf numFmtId="0" fontId="7" fillId="0" borderId="90" xfId="0" applyFont="1" applyBorder="1"/>
    <xf numFmtId="0" fontId="4" fillId="0" borderId="1" xfId="0" applyFont="1" applyBorder="1"/>
    <xf numFmtId="4" fontId="7" fillId="0" borderId="90" xfId="0" applyNumberFormat="1" applyFont="1" applyBorder="1"/>
    <xf numFmtId="0" fontId="4" fillId="0" borderId="184" xfId="0" applyFont="1" applyBorder="1"/>
    <xf numFmtId="0" fontId="4" fillId="13" borderId="90" xfId="0" applyFont="1" applyFill="1" applyBorder="1"/>
    <xf numFmtId="4" fontId="7" fillId="0" borderId="136" xfId="0" applyNumberFormat="1" applyFont="1" applyBorder="1" applyAlignment="1">
      <alignment horizontal="center"/>
    </xf>
    <xf numFmtId="0" fontId="7" fillId="0" borderId="31" xfId="0" applyFont="1" applyBorder="1" applyAlignment="1">
      <alignment horizontal="center"/>
    </xf>
    <xf numFmtId="0" fontId="7" fillId="0" borderId="46" xfId="0" applyFont="1" applyBorder="1"/>
    <xf numFmtId="0" fontId="4" fillId="0" borderId="47" xfId="0" applyFont="1" applyBorder="1"/>
    <xf numFmtId="0" fontId="7" fillId="0" borderId="46" xfId="0" applyFont="1" applyBorder="1" applyAlignment="1">
      <alignment horizontal="center"/>
    </xf>
    <xf numFmtId="0" fontId="7" fillId="0" borderId="53" xfId="0" applyFont="1" applyBorder="1" applyAlignment="1">
      <alignment horizontal="centerContinuous"/>
    </xf>
    <xf numFmtId="0" fontId="7" fillId="0" borderId="83" xfId="0" applyFont="1" applyBorder="1" applyAlignment="1">
      <alignment horizontal="center"/>
    </xf>
    <xf numFmtId="0" fontId="7" fillId="0" borderId="29" xfId="0" applyFont="1" applyBorder="1" applyAlignment="1"/>
    <xf numFmtId="0" fontId="4" fillId="0" borderId="22" xfId="0" applyFont="1" applyBorder="1"/>
    <xf numFmtId="1" fontId="4" fillId="0" borderId="46" xfId="0" applyNumberFormat="1" applyFont="1" applyBorder="1"/>
    <xf numFmtId="0" fontId="7" fillId="0" borderId="24" xfId="0" applyFont="1" applyBorder="1" applyAlignment="1"/>
    <xf numFmtId="0" fontId="4" fillId="0" borderId="24" xfId="0" applyFont="1" applyBorder="1"/>
    <xf numFmtId="4" fontId="4" fillId="0" borderId="83" xfId="0" applyNumberFormat="1" applyFont="1" applyBorder="1"/>
    <xf numFmtId="0" fontId="4" fillId="0" borderId="121" xfId="0" applyFont="1" applyBorder="1"/>
    <xf numFmtId="0" fontId="4" fillId="0" borderId="219" xfId="0" applyFont="1" applyBorder="1"/>
    <xf numFmtId="1" fontId="4" fillId="0" borderId="219" xfId="0" applyNumberFormat="1" applyFont="1" applyBorder="1"/>
    <xf numFmtId="0" fontId="4" fillId="0" borderId="201" xfId="0" applyFont="1" applyBorder="1" applyAlignment="1">
      <alignment horizontal="right"/>
    </xf>
    <xf numFmtId="9" fontId="4" fillId="0" borderId="201" xfId="0" applyNumberFormat="1" applyFont="1" applyBorder="1" applyAlignment="1">
      <alignment horizontal="center"/>
    </xf>
    <xf numFmtId="173" fontId="4" fillId="0" borderId="219" xfId="0" applyNumberFormat="1" applyFont="1" applyBorder="1"/>
    <xf numFmtId="4" fontId="4" fillId="0" borderId="199" xfId="0" applyNumberFormat="1" applyFont="1" applyBorder="1" applyAlignment="1"/>
    <xf numFmtId="0" fontId="4" fillId="0" borderId="33" xfId="0" applyFont="1" applyBorder="1"/>
    <xf numFmtId="1" fontId="4" fillId="0" borderId="29" xfId="0" applyNumberFormat="1" applyFont="1" applyBorder="1"/>
    <xf numFmtId="0" fontId="4" fillId="0" borderId="52" xfId="0" applyFont="1" applyBorder="1" applyAlignment="1">
      <alignment horizontal="right"/>
    </xf>
    <xf numFmtId="0" fontId="4" fillId="0" borderId="52" xfId="0" applyFont="1" applyBorder="1"/>
    <xf numFmtId="2" fontId="4" fillId="0" borderId="53" xfId="0" applyNumberFormat="1" applyFont="1" applyBorder="1"/>
    <xf numFmtId="4" fontId="4" fillId="0" borderId="139" xfId="0" applyNumberFormat="1" applyFont="1" applyBorder="1" applyAlignment="1"/>
    <xf numFmtId="184" fontId="4" fillId="13" borderId="6" xfId="0" applyNumberFormat="1" applyFont="1" applyFill="1" applyBorder="1"/>
    <xf numFmtId="0" fontId="4" fillId="13" borderId="6" xfId="0" applyFont="1" applyFill="1" applyBorder="1" applyAlignment="1">
      <alignment horizontal="center"/>
    </xf>
    <xf numFmtId="4" fontId="7" fillId="0" borderId="136" xfId="0" applyNumberFormat="1" applyFont="1" applyBorder="1" applyAlignment="1"/>
    <xf numFmtId="186" fontId="7" fillId="0" borderId="7" xfId="0" applyNumberFormat="1" applyFont="1" applyBorder="1"/>
    <xf numFmtId="186" fontId="121" fillId="0" borderId="6" xfId="0" applyNumberFormat="1" applyFont="1" applyBorder="1"/>
    <xf numFmtId="186" fontId="4" fillId="0" borderId="6" xfId="0" applyNumberFormat="1" applyFont="1" applyBorder="1"/>
    <xf numFmtId="186" fontId="7" fillId="0" borderId="177" xfId="0" applyNumberFormat="1" applyFont="1" applyBorder="1" applyAlignment="1">
      <alignment horizontal="centerContinuous"/>
    </xf>
    <xf numFmtId="186" fontId="7" fillId="0" borderId="94" xfId="0" applyNumberFormat="1" applyFont="1" applyBorder="1" applyAlignment="1">
      <alignment horizontal="centerContinuous"/>
    </xf>
    <xf numFmtId="186" fontId="4" fillId="0" borderId="94" xfId="0" applyNumberFormat="1" applyFont="1" applyBorder="1"/>
    <xf numFmtId="186" fontId="7" fillId="0" borderId="94" xfId="0" applyNumberFormat="1" applyFont="1" applyBorder="1"/>
    <xf numFmtId="186" fontId="4" fillId="0" borderId="226" xfId="0" applyNumberFormat="1" applyFont="1" applyBorder="1"/>
    <xf numFmtId="0" fontId="4" fillId="0" borderId="72" xfId="0" applyFont="1" applyBorder="1"/>
    <xf numFmtId="186" fontId="7" fillId="0" borderId="145" xfId="0" applyNumberFormat="1" applyFont="1" applyBorder="1" applyAlignment="1">
      <alignment horizontal="center"/>
    </xf>
    <xf numFmtId="186" fontId="4" fillId="0" borderId="33" xfId="0" applyNumberFormat="1" applyFont="1" applyBorder="1"/>
    <xf numFmtId="186" fontId="4" fillId="0" borderId="13" xfId="0" applyNumberFormat="1" applyFont="1" applyBorder="1"/>
    <xf numFmtId="186" fontId="4" fillId="0" borderId="29" xfId="0" applyNumberFormat="1" applyFont="1" applyBorder="1"/>
    <xf numFmtId="186" fontId="4" fillId="0" borderId="178" xfId="0" applyNumberFormat="1" applyFont="1" applyBorder="1"/>
    <xf numFmtId="186" fontId="4" fillId="0" borderId="227" xfId="0" applyNumberFormat="1" applyFont="1" applyBorder="1"/>
    <xf numFmtId="186" fontId="4" fillId="0" borderId="88" xfId="0" applyNumberFormat="1" applyFont="1" applyBorder="1"/>
    <xf numFmtId="186" fontId="4" fillId="0" borderId="228" xfId="0" applyNumberFormat="1" applyFont="1" applyBorder="1"/>
    <xf numFmtId="0" fontId="4" fillId="0" borderId="88" xfId="0" applyFont="1" applyBorder="1"/>
    <xf numFmtId="0" fontId="4" fillId="0" borderId="228" xfId="0" applyFont="1" applyBorder="1"/>
    <xf numFmtId="186" fontId="4" fillId="0" borderId="125" xfId="0" applyNumberFormat="1" applyFont="1" applyBorder="1"/>
    <xf numFmtId="186" fontId="4" fillId="0" borderId="7" xfId="0" quotePrefix="1" applyNumberFormat="1" applyFont="1" applyBorder="1"/>
    <xf numFmtId="186" fontId="4" fillId="0" borderId="6" xfId="0" quotePrefix="1" applyNumberFormat="1" applyFont="1" applyBorder="1"/>
    <xf numFmtId="186" fontId="4" fillId="0" borderId="186" xfId="0" applyNumberFormat="1" applyFont="1" applyBorder="1"/>
    <xf numFmtId="186" fontId="4" fillId="0" borderId="85" xfId="0" applyNumberFormat="1" applyFont="1" applyBorder="1"/>
    <xf numFmtId="186" fontId="4" fillId="0" borderId="90" xfId="0" applyNumberFormat="1" applyFont="1" applyBorder="1"/>
    <xf numFmtId="173" fontId="4" fillId="0" borderId="82" xfId="0" applyNumberFormat="1" applyFont="1" applyBorder="1" applyAlignment="1">
      <alignment horizontal="center"/>
    </xf>
    <xf numFmtId="0" fontId="7" fillId="0" borderId="33" xfId="0" applyFont="1" applyBorder="1"/>
    <xf numFmtId="0" fontId="7" fillId="0" borderId="19" xfId="0" applyFont="1" applyBorder="1" applyAlignment="1">
      <alignment horizontal="center"/>
    </xf>
    <xf numFmtId="0" fontId="4" fillId="0" borderId="0" xfId="0" applyFont="1" applyAlignment="1"/>
    <xf numFmtId="15" fontId="4" fillId="0" borderId="33" xfId="0" applyNumberFormat="1" applyFont="1" applyBorder="1" applyAlignment="1">
      <alignment horizontal="centerContinuous"/>
    </xf>
    <xf numFmtId="173" fontId="7" fillId="0" borderId="125" xfId="0" applyNumberFormat="1" applyFont="1" applyBorder="1" applyAlignment="1">
      <alignment horizontal="center"/>
    </xf>
    <xf numFmtId="0" fontId="7" fillId="0" borderId="20" xfId="0" applyFont="1" applyBorder="1" applyAlignment="1">
      <alignment horizontal="centerContinuous"/>
    </xf>
    <xf numFmtId="0" fontId="4" fillId="0" borderId="21" xfId="0" applyFont="1" applyBorder="1" applyAlignment="1">
      <alignment horizontal="centerContinuous"/>
    </xf>
    <xf numFmtId="0" fontId="123" fillId="0" borderId="32" xfId="0" applyFont="1" applyBorder="1" applyAlignment="1">
      <alignment horizontal="centerContinuous"/>
    </xf>
    <xf numFmtId="0" fontId="123" fillId="0" borderId="13" xfId="0" applyFont="1" applyBorder="1"/>
    <xf numFmtId="0" fontId="4" fillId="0" borderId="219" xfId="0" applyFont="1" applyBorder="1" applyAlignment="1">
      <alignment horizontal="centerContinuous"/>
    </xf>
    <xf numFmtId="0" fontId="4" fillId="0" borderId="104" xfId="0" applyFont="1" applyBorder="1" applyAlignment="1">
      <alignment horizontal="centerContinuous"/>
    </xf>
    <xf numFmtId="0" fontId="7" fillId="0" borderId="200" xfId="0" applyFont="1" applyBorder="1" applyAlignment="1">
      <alignment horizontal="center"/>
    </xf>
    <xf numFmtId="173" fontId="7" fillId="0" borderId="199" xfId="0" applyNumberFormat="1" applyFont="1" applyBorder="1" applyAlignment="1">
      <alignment horizontal="center"/>
    </xf>
    <xf numFmtId="0" fontId="4" fillId="0" borderId="33" xfId="0" applyFont="1" applyBorder="1" applyAlignment="1">
      <alignment horizontal="center"/>
    </xf>
    <xf numFmtId="0" fontId="121" fillId="0" borderId="29" xfId="0" applyFont="1" applyBorder="1" applyAlignment="1"/>
    <xf numFmtId="0" fontId="7" fillId="0" borderId="13" xfId="0" applyFont="1" applyBorder="1" applyAlignment="1"/>
    <xf numFmtId="173" fontId="4" fillId="0" borderId="125" xfId="0" applyNumberFormat="1" applyFont="1" applyBorder="1" applyAlignment="1">
      <alignment horizontal="center"/>
    </xf>
    <xf numFmtId="0" fontId="4" fillId="13" borderId="2" xfId="0" applyFont="1" applyFill="1" applyBorder="1"/>
    <xf numFmtId="0" fontId="4" fillId="13" borderId="0" xfId="0" applyFont="1" applyFill="1" applyBorder="1"/>
    <xf numFmtId="0" fontId="4" fillId="13" borderId="0" xfId="0" applyFont="1" applyFill="1"/>
    <xf numFmtId="0" fontId="7" fillId="0" borderId="42" xfId="0" applyFont="1" applyBorder="1" applyAlignment="1"/>
    <xf numFmtId="173" fontId="7" fillId="0" borderId="40" xfId="0" applyNumberFormat="1" applyFont="1" applyBorder="1" applyAlignment="1">
      <alignment horizontal="center"/>
    </xf>
    <xf numFmtId="0" fontId="7" fillId="13" borderId="6" xfId="0" applyFont="1" applyFill="1" applyBorder="1"/>
    <xf numFmtId="0" fontId="7" fillId="0" borderId="186" xfId="0" applyFont="1" applyBorder="1"/>
    <xf numFmtId="4" fontId="7" fillId="0" borderId="82" xfId="0" applyNumberFormat="1" applyFont="1" applyBorder="1" applyAlignment="1">
      <alignment horizontal="center"/>
    </xf>
    <xf numFmtId="0" fontId="124" fillId="0" borderId="0" xfId="0" applyFont="1" applyAlignment="1">
      <alignment horizontal="left" vertical="center" indent="1"/>
    </xf>
    <xf numFmtId="0" fontId="126" fillId="0" borderId="0" xfId="0" applyFont="1" applyAlignment="1">
      <alignment horizontal="left" vertical="center" indent="1"/>
    </xf>
    <xf numFmtId="0" fontId="90" fillId="0" borderId="0" xfId="0" applyFont="1" applyAlignment="1">
      <alignment horizontal="justify" vertical="center"/>
    </xf>
    <xf numFmtId="0" fontId="122" fillId="0" borderId="0" xfId="0" applyFont="1"/>
    <xf numFmtId="185" fontId="69" fillId="0" borderId="81" xfId="0" applyNumberFormat="1" applyFont="1" applyBorder="1" applyAlignment="1" applyProtection="1">
      <alignment horizontal="left" vertical="center"/>
    </xf>
    <xf numFmtId="180" fontId="34" fillId="0" borderId="6" xfId="0" applyNumberFormat="1" applyFont="1" applyBorder="1" applyAlignment="1">
      <alignment horizontal="left" vertical="center"/>
    </xf>
    <xf numFmtId="0" fontId="83" fillId="0" borderId="16" xfId="0" applyFont="1" applyBorder="1" applyAlignment="1">
      <alignment vertical="center"/>
    </xf>
    <xf numFmtId="178" fontId="19" fillId="0" borderId="49" xfId="0" applyNumberFormat="1" applyFont="1" applyFill="1" applyBorder="1" applyProtection="1"/>
    <xf numFmtId="178" fontId="19" fillId="0" borderId="51" xfId="0" applyNumberFormat="1" applyFont="1" applyFill="1" applyBorder="1" applyProtection="1"/>
    <xf numFmtId="1" fontId="51" fillId="0" borderId="6" xfId="0" applyNumberFormat="1" applyFont="1" applyBorder="1" applyAlignment="1">
      <alignment horizontal="right" vertical="center"/>
    </xf>
    <xf numFmtId="0" fontId="17" fillId="0" borderId="0" xfId="0" applyFont="1" applyAlignment="1">
      <alignment horizontal="center" vertical="center" wrapText="1"/>
    </xf>
    <xf numFmtId="172" fontId="19" fillId="3" borderId="27" xfId="15" applyNumberFormat="1" applyFont="1" applyFill="1" applyBorder="1" applyAlignment="1" applyProtection="1">
      <alignment vertical="center"/>
      <protection locked="0"/>
    </xf>
    <xf numFmtId="172" fontId="19" fillId="3" borderId="24" xfId="15" applyNumberFormat="1" applyFont="1" applyFill="1" applyBorder="1" applyAlignment="1" applyProtection="1">
      <alignment vertical="center"/>
      <protection locked="0"/>
    </xf>
    <xf numFmtId="172" fontId="19" fillId="3" borderId="52" xfId="15" applyNumberFormat="1" applyFont="1" applyFill="1" applyBorder="1" applyAlignment="1" applyProtection="1">
      <alignment vertical="center"/>
      <protection locked="0"/>
    </xf>
    <xf numFmtId="9" fontId="4" fillId="0" borderId="0" xfId="15" applyFont="1" applyBorder="1" applyAlignment="1" applyProtection="1">
      <alignment horizontal="center" vertical="center"/>
    </xf>
    <xf numFmtId="0" fontId="16" fillId="0" borderId="20" xfId="0" applyFont="1" applyFill="1" applyBorder="1" applyAlignment="1" applyProtection="1">
      <alignment horizontal="right" vertical="center" wrapText="1"/>
    </xf>
    <xf numFmtId="0" fontId="16" fillId="0" borderId="21" xfId="0" applyFont="1" applyBorder="1" applyAlignment="1" applyProtection="1">
      <alignment horizontal="right" vertical="center"/>
    </xf>
    <xf numFmtId="0" fontId="16" fillId="0" borderId="45" xfId="0" applyFont="1" applyBorder="1" applyAlignment="1" applyProtection="1">
      <alignment horizontal="right" vertical="center"/>
    </xf>
    <xf numFmtId="0" fontId="16" fillId="0" borderId="21" xfId="0" applyFont="1" applyBorder="1" applyAlignment="1" applyProtection="1">
      <alignment horizontal="right" vertical="center" wrapText="1"/>
    </xf>
    <xf numFmtId="0" fontId="16" fillId="0" borderId="45" xfId="0" applyFont="1" applyBorder="1" applyAlignment="1" applyProtection="1">
      <alignment horizontal="right" vertical="center" wrapText="1"/>
    </xf>
    <xf numFmtId="49" fontId="28" fillId="3" borderId="42" xfId="0" applyNumberFormat="1" applyFont="1" applyFill="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6" fillId="0" borderId="2" xfId="0" applyFont="1" applyFill="1" applyBorder="1" applyAlignment="1" applyProtection="1">
      <alignment horizontal="right" vertical="center" wrapText="1"/>
    </xf>
    <xf numFmtId="0" fontId="16" fillId="0" borderId="0" xfId="0" applyFont="1" applyBorder="1" applyAlignment="1" applyProtection="1">
      <alignment horizontal="right" vertical="center" wrapText="1"/>
    </xf>
    <xf numFmtId="0" fontId="16" fillId="0" borderId="54" xfId="0" applyFont="1" applyBorder="1" applyAlignment="1" applyProtection="1">
      <alignment horizontal="right" vertical="center" wrapText="1"/>
    </xf>
    <xf numFmtId="49" fontId="17" fillId="3" borderId="42" xfId="0" applyNumberFormat="1" applyFont="1" applyFill="1" applyBorder="1" applyAlignment="1" applyProtection="1">
      <alignment vertical="center"/>
      <protection locked="0"/>
    </xf>
    <xf numFmtId="49" fontId="14" fillId="0" borderId="43" xfId="0" applyNumberFormat="1" applyFont="1" applyBorder="1" applyAlignment="1" applyProtection="1">
      <alignment vertical="center"/>
      <protection locked="0"/>
    </xf>
    <xf numFmtId="49" fontId="17" fillId="3" borderId="90" xfId="0" applyNumberFormat="1" applyFont="1" applyFill="1" applyBorder="1" applyAlignment="1" applyProtection="1">
      <alignment vertical="center"/>
      <protection locked="0"/>
    </xf>
    <xf numFmtId="49" fontId="14" fillId="0" borderId="132" xfId="0" applyNumberFormat="1" applyFont="1" applyBorder="1" applyAlignment="1" applyProtection="1">
      <alignment vertical="center"/>
      <protection locked="0"/>
    </xf>
    <xf numFmtId="0" fontId="32" fillId="4" borderId="177" xfId="0" applyFont="1" applyFill="1" applyBorder="1" applyAlignment="1" applyProtection="1">
      <alignment horizontal="center" vertical="center" wrapText="1"/>
    </xf>
    <xf numFmtId="0" fontId="31" fillId="4" borderId="94" xfId="0" applyFont="1" applyFill="1" applyBorder="1" applyAlignment="1" applyProtection="1">
      <alignment horizontal="center" vertical="center" wrapText="1"/>
    </xf>
    <xf numFmtId="0" fontId="31" fillId="4" borderId="72" xfId="0" applyFont="1" applyFill="1" applyBorder="1" applyAlignment="1" applyProtection="1">
      <alignment horizontal="center" vertical="center" wrapText="1"/>
    </xf>
    <xf numFmtId="0" fontId="16" fillId="0" borderId="33" xfId="0" applyFont="1" applyFill="1" applyBorder="1" applyAlignment="1" applyProtection="1">
      <alignment horizontal="right" vertical="center"/>
    </xf>
    <xf numFmtId="0" fontId="14" fillId="0" borderId="13" xfId="0" applyFont="1" applyBorder="1" applyAlignment="1">
      <alignment horizontal="right" vertical="center"/>
    </xf>
    <xf numFmtId="0" fontId="14" fillId="0" borderId="178" xfId="0" applyFont="1" applyBorder="1" applyAlignment="1">
      <alignment horizontal="right" vertical="center"/>
    </xf>
    <xf numFmtId="0" fontId="7" fillId="4" borderId="9" xfId="0" applyFont="1" applyFill="1" applyBorder="1" applyAlignment="1" applyProtection="1">
      <alignment horizontal="center" vertical="top" wrapText="1"/>
    </xf>
    <xf numFmtId="0" fontId="14" fillId="0" borderId="7" xfId="0" applyFont="1" applyBorder="1" applyAlignment="1">
      <alignment vertical="top"/>
    </xf>
    <xf numFmtId="0" fontId="7" fillId="4" borderId="129" xfId="0" applyFont="1" applyFill="1" applyBorder="1" applyAlignment="1" applyProtection="1">
      <alignment horizontal="center" vertical="top" wrapText="1"/>
    </xf>
    <xf numFmtId="0" fontId="14" fillId="0" borderId="82" xfId="0" applyFont="1" applyBorder="1" applyAlignment="1">
      <alignment horizontal="center" vertical="top" wrapText="1"/>
    </xf>
    <xf numFmtId="0" fontId="7" fillId="8" borderId="179" xfId="0" applyFont="1" applyFill="1" applyBorder="1" applyAlignment="1" applyProtection="1">
      <alignment horizontal="center" vertical="top" wrapText="1"/>
    </xf>
    <xf numFmtId="0" fontId="14" fillId="0" borderId="152" xfId="0" applyFont="1" applyBorder="1" applyAlignment="1">
      <alignment horizontal="center" vertical="top" wrapText="1"/>
    </xf>
    <xf numFmtId="49" fontId="17" fillId="3" borderId="42" xfId="0" applyNumberFormat="1" applyFont="1" applyFill="1" applyBorder="1" applyAlignment="1" applyProtection="1">
      <alignment horizontal="left" vertical="center"/>
      <protection locked="0"/>
    </xf>
    <xf numFmtId="49" fontId="14" fillId="0" borderId="43" xfId="0" applyNumberFormat="1" applyFont="1" applyBorder="1" applyAlignment="1" applyProtection="1">
      <alignment horizontal="left" vertical="center"/>
      <protection locked="0"/>
    </xf>
    <xf numFmtId="0" fontId="28" fillId="0" borderId="175" xfId="0" applyFont="1" applyFill="1" applyBorder="1" applyAlignment="1" applyProtection="1">
      <alignment horizontal="center" vertical="center" wrapText="1"/>
    </xf>
    <xf numFmtId="0" fontId="28" fillId="0" borderId="127" xfId="0" applyFont="1" applyBorder="1" applyAlignment="1">
      <alignment horizontal="center" vertical="center" wrapText="1"/>
    </xf>
    <xf numFmtId="0" fontId="28" fillId="0" borderId="14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136" xfId="0" applyFont="1" applyBorder="1" applyAlignment="1">
      <alignment horizontal="center" vertical="center" wrapText="1"/>
    </xf>
    <xf numFmtId="49" fontId="25" fillId="3" borderId="42" xfId="0" applyNumberFormat="1" applyFont="1" applyFill="1" applyBorder="1" applyAlignment="1" applyProtection="1">
      <alignment horizontal="center" vertical="center"/>
      <protection locked="0"/>
    </xf>
    <xf numFmtId="49" fontId="17" fillId="3" borderId="19" xfId="0" applyNumberFormat="1" applyFont="1" applyFill="1" applyBorder="1" applyAlignment="1" applyProtection="1">
      <alignment vertical="center"/>
      <protection locked="0"/>
    </xf>
    <xf numFmtId="49" fontId="14" fillId="0" borderId="19" xfId="0" applyNumberFormat="1" applyFont="1" applyBorder="1" applyAlignment="1" applyProtection="1">
      <alignment vertical="center"/>
      <protection locked="0"/>
    </xf>
    <xf numFmtId="49" fontId="17" fillId="0" borderId="42" xfId="0" applyNumberFormat="1" applyFont="1" applyFill="1" applyBorder="1" applyAlignment="1" applyProtection="1">
      <alignment vertical="center"/>
    </xf>
    <xf numFmtId="49" fontId="14" fillId="0" borderId="43" xfId="0" applyNumberFormat="1" applyFont="1" applyFill="1" applyBorder="1" applyAlignment="1" applyProtection="1">
      <alignment vertical="center"/>
    </xf>
    <xf numFmtId="49" fontId="48" fillId="3" borderId="42" xfId="0" applyNumberFormat="1" applyFont="1" applyFill="1" applyBorder="1" applyAlignment="1" applyProtection="1">
      <alignment vertical="center"/>
      <protection locked="0"/>
    </xf>
    <xf numFmtId="49" fontId="14" fillId="0" borderId="45" xfId="0" applyNumberFormat="1" applyFont="1" applyBorder="1" applyAlignment="1" applyProtection="1">
      <alignment vertical="center"/>
      <protection locked="0"/>
    </xf>
    <xf numFmtId="49" fontId="48" fillId="3" borderId="19" xfId="0" applyNumberFormat="1" applyFont="1" applyFill="1" applyBorder="1" applyAlignment="1" applyProtection="1">
      <alignment vertical="center"/>
      <protection locked="0"/>
    </xf>
    <xf numFmtId="49" fontId="44" fillId="0" borderId="40" xfId="0" applyNumberFormat="1" applyFont="1" applyBorder="1" applyAlignment="1" applyProtection="1">
      <alignment vertical="center"/>
      <protection locked="0"/>
    </xf>
    <xf numFmtId="0" fontId="52" fillId="4" borderId="78" xfId="0" applyFont="1" applyFill="1" applyBorder="1" applyAlignment="1" applyProtection="1">
      <alignment horizontal="center" vertical="center" wrapText="1"/>
    </xf>
    <xf numFmtId="0" fontId="53" fillId="0" borderId="62" xfId="0" applyFont="1" applyBorder="1" applyAlignment="1" applyProtection="1">
      <alignment horizontal="center" vertical="center" wrapText="1"/>
    </xf>
    <xf numFmtId="0" fontId="53" fillId="0" borderId="128" xfId="0" applyFont="1" applyBorder="1" applyAlignment="1" applyProtection="1">
      <alignment horizontal="center" vertical="center" wrapText="1"/>
    </xf>
    <xf numFmtId="0" fontId="74" fillId="2" borderId="6" xfId="0" applyFont="1" applyFill="1" applyBorder="1" applyAlignment="1" applyProtection="1">
      <alignment horizontal="center" vertical="center" wrapText="1"/>
    </xf>
    <xf numFmtId="0" fontId="75" fillId="0" borderId="6" xfId="0" applyFont="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37" fillId="0" borderId="96" xfId="0" applyFont="1" applyFill="1" applyBorder="1" applyAlignment="1" applyProtection="1">
      <alignment horizontal="center" vertical="center" wrapText="1"/>
    </xf>
    <xf numFmtId="0" fontId="98" fillId="0" borderId="11" xfId="0" applyFont="1" applyFill="1" applyBorder="1" applyAlignment="1" applyProtection="1">
      <alignment horizontal="center" vertical="center" wrapText="1"/>
    </xf>
    <xf numFmtId="0" fontId="98" fillId="0" borderId="53" xfId="0" applyFont="1" applyFill="1" applyBorder="1" applyAlignment="1" applyProtection="1">
      <alignment horizontal="center" vertical="center" wrapText="1"/>
    </xf>
    <xf numFmtId="0" fontId="98" fillId="0" borderId="8" xfId="0" applyFont="1" applyFill="1" applyBorder="1" applyAlignment="1" applyProtection="1">
      <alignment horizontal="center" vertical="center" wrapText="1"/>
    </xf>
    <xf numFmtId="0" fontId="98" fillId="0" borderId="173" xfId="0" applyFont="1" applyFill="1" applyBorder="1" applyAlignment="1" applyProtection="1">
      <alignment horizontal="center" vertical="center" wrapText="1"/>
    </xf>
    <xf numFmtId="0" fontId="98" fillId="0" borderId="174" xfId="0" applyFont="1" applyFill="1" applyBorder="1" applyAlignment="1" applyProtection="1">
      <alignment horizontal="center" vertical="center" wrapText="1"/>
    </xf>
    <xf numFmtId="49" fontId="17" fillId="3" borderId="19" xfId="0" applyNumberFormat="1" applyFont="1" applyFill="1" applyBorder="1" applyAlignment="1" applyProtection="1">
      <alignment vertical="center" wrapText="1"/>
      <protection locked="0"/>
    </xf>
    <xf numFmtId="49" fontId="14" fillId="0" borderId="19" xfId="0" applyNumberFormat="1" applyFont="1" applyBorder="1" applyAlignment="1" applyProtection="1">
      <alignment vertical="center" wrapText="1"/>
      <protection locked="0"/>
    </xf>
    <xf numFmtId="49" fontId="17" fillId="3" borderId="86" xfId="0" applyNumberFormat="1" applyFont="1" applyFill="1" applyBorder="1" applyAlignment="1" applyProtection="1">
      <alignment vertical="center"/>
      <protection locked="0"/>
    </xf>
    <xf numFmtId="49" fontId="15" fillId="0" borderId="18" xfId="0" applyNumberFormat="1" applyFont="1" applyBorder="1" applyAlignment="1" applyProtection="1">
      <alignment vertical="center"/>
      <protection locked="0"/>
    </xf>
    <xf numFmtId="49" fontId="17" fillId="3" borderId="1" xfId="0" applyNumberFormat="1" applyFont="1" applyFill="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132" xfId="0" applyFont="1" applyBorder="1" applyAlignment="1" applyProtection="1">
      <alignment vertical="center"/>
      <protection locked="0"/>
    </xf>
    <xf numFmtId="49" fontId="17" fillId="3" borderId="17" xfId="0" applyNumberFormat="1" applyFont="1" applyFill="1" applyBorder="1" applyAlignment="1" applyProtection="1">
      <alignment vertical="center"/>
      <protection locked="0"/>
    </xf>
    <xf numFmtId="49" fontId="17" fillId="3" borderId="18" xfId="0" applyNumberFormat="1" applyFont="1" applyFill="1" applyBorder="1" applyAlignment="1" applyProtection="1">
      <alignment vertical="center"/>
      <protection locked="0"/>
    </xf>
    <xf numFmtId="0" fontId="108" fillId="12" borderId="7" xfId="0" applyFont="1" applyFill="1" applyBorder="1" applyAlignment="1" applyProtection="1">
      <alignment horizontal="left" vertical="center" wrapText="1"/>
    </xf>
    <xf numFmtId="0" fontId="111" fillId="12" borderId="6" xfId="0" applyFont="1" applyFill="1" applyBorder="1" applyAlignment="1">
      <alignment horizontal="left" vertical="center" wrapText="1"/>
    </xf>
    <xf numFmtId="0" fontId="10" fillId="0" borderId="42" xfId="0" applyFont="1" applyFill="1" applyBorder="1" applyAlignment="1">
      <alignment vertical="top" wrapText="1"/>
    </xf>
    <xf numFmtId="0" fontId="0" fillId="0" borderId="21" xfId="0" applyBorder="1" applyAlignment="1">
      <alignment vertical="top" wrapText="1"/>
    </xf>
    <xf numFmtId="0" fontId="16" fillId="0" borderId="91" xfId="0" applyFont="1" applyFill="1" applyBorder="1" applyAlignment="1" applyProtection="1">
      <alignment horizontal="right" vertical="center" wrapText="1"/>
    </xf>
    <xf numFmtId="0" fontId="16" fillId="0" borderId="172" xfId="0" applyFont="1" applyFill="1" applyBorder="1" applyAlignment="1" applyProtection="1">
      <alignment horizontal="right" vertical="center" wrapText="1"/>
    </xf>
    <xf numFmtId="0" fontId="16" fillId="0" borderId="172" xfId="0" applyFont="1" applyBorder="1" applyAlignment="1" applyProtection="1">
      <alignment horizontal="right" vertical="center" wrapText="1"/>
    </xf>
    <xf numFmtId="0" fontId="16" fillId="0" borderId="129" xfId="0" applyFont="1" applyBorder="1" applyAlignment="1" applyProtection="1">
      <alignment horizontal="right" vertical="center" wrapText="1"/>
    </xf>
    <xf numFmtId="0" fontId="16" fillId="0" borderId="31" xfId="0" applyFont="1" applyBorder="1" applyAlignment="1" applyProtection="1">
      <alignment horizontal="right" vertical="center" wrapText="1"/>
    </xf>
    <xf numFmtId="0" fontId="16" fillId="0" borderId="32" xfId="0" applyFont="1" applyBorder="1" applyAlignment="1" applyProtection="1">
      <alignment horizontal="right" vertical="center" wrapText="1"/>
    </xf>
    <xf numFmtId="0" fontId="16" fillId="0" borderId="39" xfId="0" applyFont="1" applyBorder="1" applyAlignment="1" applyProtection="1">
      <alignment horizontal="right" vertical="center" wrapText="1"/>
    </xf>
    <xf numFmtId="0" fontId="17" fillId="11" borderId="2" xfId="0" applyFont="1" applyFill="1" applyBorder="1" applyAlignment="1" applyProtection="1">
      <alignment horizontal="right" vertical="center" wrapText="1"/>
    </xf>
    <xf numFmtId="0" fontId="17" fillId="11" borderId="0" xfId="0" applyFont="1" applyFill="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10" borderId="60" xfId="0" applyFont="1" applyFill="1" applyBorder="1" applyAlignment="1" applyProtection="1">
      <alignment horizontal="right" vertical="center" wrapText="1"/>
    </xf>
    <xf numFmtId="0" fontId="17" fillId="10" borderId="5" xfId="0" applyFont="1" applyFill="1" applyBorder="1" applyAlignment="1" applyProtection="1">
      <alignment horizontal="right" vertical="center" wrapText="1"/>
    </xf>
    <xf numFmtId="0" fontId="16" fillId="0" borderId="69"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20" fillId="0" borderId="180" xfId="0" applyFont="1" applyFill="1" applyBorder="1" applyAlignment="1" applyProtection="1">
      <alignment horizontal="right" vertical="center" wrapText="1"/>
    </xf>
    <xf numFmtId="0" fontId="20" fillId="0" borderId="168" xfId="0" applyFont="1" applyFill="1" applyBorder="1" applyAlignment="1" applyProtection="1">
      <alignment horizontal="right" vertical="center" wrapText="1"/>
    </xf>
    <xf numFmtId="0" fontId="20" fillId="0" borderId="168" xfId="0" applyFont="1" applyBorder="1" applyAlignment="1" applyProtection="1">
      <alignment horizontal="right" vertical="center" wrapText="1"/>
    </xf>
    <xf numFmtId="0" fontId="20" fillId="0" borderId="148" xfId="0" applyFont="1" applyBorder="1" applyAlignment="1" applyProtection="1">
      <alignment horizontal="right" vertical="center" wrapText="1"/>
    </xf>
    <xf numFmtId="0" fontId="107" fillId="4" borderId="78" xfId="0" applyFont="1" applyFill="1" applyBorder="1" applyAlignment="1" applyProtection="1">
      <alignment horizontal="left" vertical="center" wrapText="1"/>
    </xf>
    <xf numFmtId="0" fontId="106" fillId="4" borderId="62" xfId="0" applyFont="1" applyFill="1" applyBorder="1" applyAlignment="1" applyProtection="1">
      <alignment horizontal="left" vertical="center" wrapText="1"/>
    </xf>
    <xf numFmtId="0" fontId="7" fillId="0" borderId="2"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54" xfId="0" applyFont="1" applyBorder="1" applyAlignment="1" applyProtection="1">
      <alignment horizontal="right" vertical="center" wrapText="1"/>
    </xf>
    <xf numFmtId="0" fontId="7" fillId="10" borderId="60" xfId="0" applyFont="1" applyFill="1" applyBorder="1" applyAlignment="1" applyProtection="1">
      <alignment horizontal="right" vertical="center" wrapText="1"/>
    </xf>
    <xf numFmtId="0" fontId="7" fillId="10" borderId="5" xfId="0" applyFont="1" applyFill="1" applyBorder="1" applyAlignment="1" applyProtection="1">
      <alignment horizontal="right" vertical="center" wrapText="1"/>
    </xf>
    <xf numFmtId="0" fontId="7" fillId="10" borderId="182" xfId="0" applyFont="1" applyFill="1" applyBorder="1" applyAlignment="1" applyProtection="1">
      <alignment horizontal="right" vertical="center" wrapText="1"/>
    </xf>
    <xf numFmtId="0" fontId="20" fillId="0" borderId="169" xfId="0" applyFont="1" applyFill="1" applyBorder="1" applyAlignment="1" applyProtection="1">
      <alignment horizontal="right" vertical="center" wrapText="1"/>
    </xf>
    <xf numFmtId="0" fontId="20" fillId="0" borderId="58" xfId="0" applyFont="1" applyFill="1" applyBorder="1" applyAlignment="1" applyProtection="1">
      <alignment horizontal="right" vertical="center"/>
    </xf>
    <xf numFmtId="0" fontId="20" fillId="0" borderId="181" xfId="0" applyFont="1" applyFill="1" applyBorder="1" applyAlignment="1" applyProtection="1">
      <alignment horizontal="right" vertical="center"/>
    </xf>
    <xf numFmtId="0" fontId="7" fillId="5" borderId="169"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4" fillId="5" borderId="58" xfId="0" applyFont="1" applyFill="1" applyBorder="1" applyAlignment="1" applyProtection="1">
      <alignment vertical="center" wrapText="1"/>
    </xf>
    <xf numFmtId="0" fontId="17" fillId="11" borderId="0" xfId="0" applyFont="1" applyFill="1" applyBorder="1" applyAlignment="1" applyProtection="1">
      <alignment horizontal="right" vertical="center"/>
    </xf>
    <xf numFmtId="0" fontId="17" fillId="11" borderId="54" xfId="0" applyFont="1" applyFill="1" applyBorder="1" applyAlignment="1" applyProtection="1">
      <alignment horizontal="right" vertical="center"/>
    </xf>
    <xf numFmtId="0" fontId="58" fillId="4" borderId="169" xfId="0" applyFont="1" applyFill="1" applyBorder="1" applyAlignment="1" applyProtection="1">
      <alignment horizontal="left" vertical="center" wrapText="1"/>
    </xf>
    <xf numFmtId="0" fontId="63" fillId="4" borderId="58" xfId="0" applyFont="1" applyFill="1" applyBorder="1" applyAlignment="1" applyProtection="1">
      <alignment vertical="center" wrapText="1"/>
    </xf>
    <xf numFmtId="0" fontId="16" fillId="0" borderId="0" xfId="0" applyFont="1" applyBorder="1" applyAlignment="1" applyProtection="1">
      <alignment horizontal="right" vertical="center"/>
    </xf>
    <xf numFmtId="0" fontId="16" fillId="0" borderId="54" xfId="0" applyFont="1" applyBorder="1" applyAlignment="1" applyProtection="1">
      <alignment horizontal="right" vertical="center"/>
    </xf>
    <xf numFmtId="0" fontId="108" fillId="7" borderId="7" xfId="0" applyFont="1" applyFill="1" applyBorder="1" applyAlignment="1" applyProtection="1">
      <alignment horizontal="left" vertical="center" wrapText="1"/>
    </xf>
    <xf numFmtId="0" fontId="111" fillId="7" borderId="6" xfId="0" applyFont="1" applyFill="1" applyBorder="1" applyAlignment="1" applyProtection="1">
      <alignment horizontal="left" vertical="center" wrapText="1"/>
    </xf>
    <xf numFmtId="0" fontId="16" fillId="0" borderId="68" xfId="0" applyFont="1" applyFill="1" applyBorder="1" applyAlignment="1" applyProtection="1">
      <alignment horizontal="right" vertical="center" wrapText="1"/>
    </xf>
    <xf numFmtId="0" fontId="16" fillId="0" borderId="52" xfId="0" applyFont="1" applyFill="1" applyBorder="1" applyAlignment="1" applyProtection="1">
      <alignment horizontal="right" vertical="center" wrapText="1"/>
    </xf>
    <xf numFmtId="0" fontId="16" fillId="0" borderId="52" xfId="0" applyFont="1" applyBorder="1" applyAlignment="1" applyProtection="1">
      <alignment horizontal="right" vertical="center" wrapText="1"/>
    </xf>
    <xf numFmtId="0" fontId="16" fillId="0" borderId="53" xfId="0" applyFont="1" applyBorder="1" applyAlignment="1" applyProtection="1">
      <alignment horizontal="right" vertical="center" wrapText="1"/>
    </xf>
    <xf numFmtId="49" fontId="17" fillId="3" borderId="19" xfId="0" applyNumberFormat="1" applyFont="1" applyFill="1" applyBorder="1" applyAlignment="1" applyProtection="1">
      <alignment vertical="center" wrapText="1"/>
    </xf>
    <xf numFmtId="49" fontId="14" fillId="0" borderId="19" xfId="0" applyNumberFormat="1" applyFont="1" applyBorder="1" applyAlignment="1" applyProtection="1">
      <alignment vertical="center" wrapText="1"/>
    </xf>
    <xf numFmtId="49" fontId="17" fillId="3" borderId="86" xfId="0" applyNumberFormat="1" applyFont="1" applyFill="1" applyBorder="1" applyAlignment="1" applyProtection="1">
      <alignment vertical="center"/>
    </xf>
    <xf numFmtId="49" fontId="15" fillId="0" borderId="18" xfId="0" applyNumberFormat="1" applyFont="1" applyBorder="1" applyAlignment="1" applyProtection="1">
      <alignment vertical="center"/>
    </xf>
    <xf numFmtId="49" fontId="17" fillId="3" borderId="1" xfId="0" applyNumberFormat="1" applyFont="1" applyFill="1" applyBorder="1" applyAlignment="1" applyProtection="1">
      <alignment vertical="center"/>
    </xf>
    <xf numFmtId="0" fontId="14" fillId="0" borderId="1" xfId="0" applyFont="1" applyBorder="1" applyAlignment="1" applyProtection="1">
      <alignment vertical="center"/>
    </xf>
    <xf numFmtId="0" fontId="14" fillId="0" borderId="132" xfId="0" applyFont="1" applyBorder="1" applyAlignment="1" applyProtection="1">
      <alignment vertical="center"/>
    </xf>
    <xf numFmtId="49" fontId="17" fillId="3" borderId="17" xfId="0" applyNumberFormat="1" applyFont="1" applyFill="1" applyBorder="1" applyAlignment="1" applyProtection="1">
      <alignment vertical="center"/>
    </xf>
    <xf numFmtId="49" fontId="17" fillId="3" borderId="18" xfId="0" applyNumberFormat="1" applyFont="1" applyFill="1" applyBorder="1" applyAlignment="1" applyProtection="1">
      <alignment vertical="center"/>
    </xf>
    <xf numFmtId="0" fontId="28" fillId="0" borderId="127" xfId="0" applyFont="1" applyBorder="1" applyAlignment="1" applyProtection="1">
      <alignment horizontal="center" vertical="center" wrapText="1"/>
    </xf>
    <xf numFmtId="0" fontId="28" fillId="0" borderId="143" xfId="0" applyFont="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8" fillId="0" borderId="19" xfId="0" applyFont="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8" fillId="0" borderId="176" xfId="0" applyFont="1" applyBorder="1" applyAlignment="1" applyProtection="1">
      <alignment horizontal="center" vertical="center" wrapText="1"/>
    </xf>
    <xf numFmtId="0" fontId="28" fillId="0" borderId="81" xfId="0" applyFont="1" applyBorder="1" applyAlignment="1" applyProtection="1">
      <alignment horizontal="center" vertical="center" wrapText="1"/>
    </xf>
    <xf numFmtId="0" fontId="28" fillId="0" borderId="136" xfId="0" applyFont="1" applyBorder="1" applyAlignment="1" applyProtection="1">
      <alignment horizontal="center" vertical="center" wrapText="1"/>
    </xf>
    <xf numFmtId="49" fontId="25" fillId="3" borderId="42" xfId="0" applyNumberFormat="1" applyFont="1" applyFill="1" applyBorder="1" applyAlignment="1" applyProtection="1">
      <alignment horizontal="center" vertical="center"/>
    </xf>
    <xf numFmtId="0" fontId="14" fillId="0" borderId="45" xfId="0" applyFont="1" applyBorder="1" applyAlignment="1" applyProtection="1">
      <alignment horizontal="center" vertical="center"/>
    </xf>
    <xf numFmtId="49" fontId="17" fillId="3" borderId="19" xfId="0" applyNumberFormat="1" applyFont="1" applyFill="1" applyBorder="1" applyAlignment="1" applyProtection="1">
      <alignment vertical="center"/>
    </xf>
    <xf numFmtId="49" fontId="14" fillId="0" borderId="19" xfId="0" applyNumberFormat="1" applyFont="1" applyBorder="1" applyAlignment="1" applyProtection="1">
      <alignment vertical="center"/>
    </xf>
    <xf numFmtId="49" fontId="17" fillId="3" borderId="42" xfId="0" applyNumberFormat="1" applyFont="1" applyFill="1" applyBorder="1" applyAlignment="1" applyProtection="1">
      <alignment vertical="center"/>
    </xf>
    <xf numFmtId="49" fontId="14" fillId="0" borderId="43" xfId="0" applyNumberFormat="1" applyFont="1" applyBorder="1" applyAlignment="1" applyProtection="1">
      <alignment vertical="center"/>
    </xf>
    <xf numFmtId="49" fontId="17" fillId="3" borderId="42" xfId="0" applyNumberFormat="1" applyFont="1" applyFill="1" applyBorder="1" applyAlignment="1" applyProtection="1">
      <alignment horizontal="left" vertical="center"/>
    </xf>
    <xf numFmtId="49" fontId="48" fillId="3" borderId="42" xfId="0" applyNumberFormat="1" applyFont="1" applyFill="1" applyBorder="1" applyAlignment="1" applyProtection="1">
      <alignment vertical="center"/>
    </xf>
    <xf numFmtId="49" fontId="14" fillId="0" borderId="45" xfId="0" applyNumberFormat="1" applyFont="1" applyBorder="1" applyAlignment="1" applyProtection="1">
      <alignment vertical="center"/>
    </xf>
    <xf numFmtId="49" fontId="48" fillId="3" borderId="19" xfId="0" applyNumberFormat="1" applyFont="1" applyFill="1" applyBorder="1" applyAlignment="1" applyProtection="1">
      <alignment vertical="center"/>
    </xf>
    <xf numFmtId="49" fontId="44" fillId="0" borderId="40" xfId="0" applyNumberFormat="1" applyFont="1" applyBorder="1" applyAlignment="1" applyProtection="1">
      <alignment vertical="center"/>
    </xf>
    <xf numFmtId="0" fontId="14" fillId="0" borderId="13" xfId="0" applyFont="1" applyBorder="1" applyAlignment="1" applyProtection="1">
      <alignment horizontal="right" vertical="center"/>
    </xf>
    <xf numFmtId="0" fontId="14" fillId="0" borderId="178" xfId="0" applyFont="1" applyBorder="1" applyAlignment="1" applyProtection="1">
      <alignment horizontal="right" vertical="center"/>
    </xf>
    <xf numFmtId="0" fontId="14" fillId="0" borderId="7" xfId="0" applyFont="1" applyBorder="1" applyAlignment="1" applyProtection="1">
      <alignment vertical="top"/>
    </xf>
    <xf numFmtId="0" fontId="14" fillId="0" borderId="82" xfId="0" applyFont="1" applyBorder="1" applyAlignment="1" applyProtection="1">
      <alignment horizontal="center" vertical="top" wrapText="1"/>
    </xf>
    <xf numFmtId="0" fontId="14" fillId="0" borderId="152" xfId="0" applyFont="1" applyBorder="1" applyAlignment="1" applyProtection="1">
      <alignment horizontal="center" vertical="top" wrapText="1"/>
    </xf>
    <xf numFmtId="49" fontId="14" fillId="0" borderId="43" xfId="0" applyNumberFormat="1" applyFont="1" applyBorder="1" applyAlignment="1" applyProtection="1">
      <alignment horizontal="left" vertical="center"/>
    </xf>
    <xf numFmtId="49" fontId="17" fillId="3" borderId="90" xfId="0" applyNumberFormat="1" applyFont="1" applyFill="1" applyBorder="1" applyAlignment="1" applyProtection="1">
      <alignment vertical="center"/>
    </xf>
    <xf numFmtId="49" fontId="14" fillId="0" borderId="132" xfId="0" applyNumberFormat="1" applyFont="1" applyBorder="1" applyAlignment="1" applyProtection="1">
      <alignment vertical="center"/>
    </xf>
    <xf numFmtId="49" fontId="28" fillId="3" borderId="42" xfId="0" applyNumberFormat="1" applyFont="1" applyFill="1" applyBorder="1" applyAlignment="1" applyProtection="1">
      <alignment horizontal="center" vertical="center"/>
    </xf>
    <xf numFmtId="182" fontId="5" fillId="0" borderId="19" xfId="0" applyNumberFormat="1" applyFont="1" applyFill="1" applyBorder="1" applyAlignment="1" applyProtection="1">
      <alignment vertical="center"/>
    </xf>
    <xf numFmtId="0" fontId="4" fillId="0" borderId="19" xfId="0" applyFont="1" applyBorder="1" applyAlignment="1" applyProtection="1">
      <alignment vertical="center"/>
    </xf>
    <xf numFmtId="182" fontId="5" fillId="0" borderId="42" xfId="0" applyNumberFormat="1" applyFont="1" applyFill="1" applyBorder="1" applyAlignment="1" applyProtection="1">
      <alignment vertical="center"/>
    </xf>
    <xf numFmtId="0" fontId="14" fillId="0" borderId="45" xfId="0" applyFont="1" applyBorder="1" applyAlignment="1" applyProtection="1">
      <alignment vertical="center"/>
    </xf>
    <xf numFmtId="182" fontId="5" fillId="0" borderId="21" xfId="0" applyNumberFormat="1" applyFont="1" applyFill="1" applyBorder="1" applyAlignment="1" applyProtection="1">
      <alignment vertical="center"/>
    </xf>
    <xf numFmtId="182" fontId="5" fillId="0" borderId="45" xfId="0" applyNumberFormat="1" applyFont="1" applyFill="1" applyBorder="1" applyAlignment="1" applyProtection="1">
      <alignment vertical="center"/>
    </xf>
    <xf numFmtId="182" fontId="19" fillId="3" borderId="131" xfId="0" applyNumberFormat="1" applyFont="1" applyFill="1" applyBorder="1" applyAlignment="1" applyProtection="1">
      <alignment vertical="center"/>
      <protection locked="0"/>
    </xf>
    <xf numFmtId="0" fontId="4" fillId="0" borderId="183" xfId="0" applyFont="1" applyBorder="1" applyAlignment="1" applyProtection="1">
      <alignment vertical="center"/>
      <protection locked="0"/>
    </xf>
    <xf numFmtId="0" fontId="4" fillId="0" borderId="184" xfId="0" applyFont="1" applyBorder="1" applyAlignment="1" applyProtection="1">
      <alignment vertical="center"/>
      <protection locked="0"/>
    </xf>
    <xf numFmtId="182" fontId="19" fillId="3" borderId="81" xfId="0" applyNumberFormat="1" applyFont="1" applyFill="1" applyBorder="1" applyAlignment="1" applyProtection="1">
      <alignment vertical="center"/>
      <protection locked="0"/>
    </xf>
    <xf numFmtId="0" fontId="4" fillId="0" borderId="81" xfId="0" applyFont="1" applyBorder="1" applyAlignment="1" applyProtection="1">
      <alignment vertical="center"/>
      <protection locked="0"/>
    </xf>
    <xf numFmtId="182" fontId="19" fillId="3" borderId="90" xfId="0" applyNumberFormat="1" applyFont="1" applyFill="1" applyBorder="1" applyAlignment="1" applyProtection="1">
      <alignment vertical="center"/>
      <protection locked="0"/>
    </xf>
    <xf numFmtId="0" fontId="4" fillId="0" borderId="1" xfId="0" applyFont="1" applyBorder="1" applyAlignment="1" applyProtection="1">
      <alignment vertical="center"/>
      <protection locked="0"/>
    </xf>
    <xf numFmtId="9" fontId="62" fillId="0" borderId="2" xfId="0" applyNumberFormat="1" applyFont="1" applyFill="1" applyBorder="1" applyAlignment="1" applyProtection="1">
      <alignment vertical="center"/>
    </xf>
    <xf numFmtId="0" fontId="14" fillId="0" borderId="0" xfId="0" applyFont="1" applyBorder="1" applyAlignment="1" applyProtection="1">
      <alignment vertical="center"/>
    </xf>
    <xf numFmtId="0" fontId="14" fillId="0" borderId="21" xfId="0" applyFont="1" applyBorder="1" applyAlignment="1" applyProtection="1">
      <alignment vertical="center"/>
    </xf>
    <xf numFmtId="0" fontId="9" fillId="0" borderId="19"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xf>
    <xf numFmtId="49" fontId="56" fillId="0" borderId="42" xfId="0" applyNumberFormat="1" applyFont="1" applyBorder="1" applyAlignment="1" applyProtection="1">
      <alignment horizontal="left" vertical="center"/>
    </xf>
    <xf numFmtId="49" fontId="56" fillId="0" borderId="19" xfId="0" applyNumberFormat="1" applyFont="1" applyBorder="1" applyAlignment="1" applyProtection="1">
      <alignment vertical="center"/>
    </xf>
    <xf numFmtId="174" fontId="56" fillId="0" borderId="81" xfId="0" applyNumberFormat="1" applyFont="1" applyBorder="1" applyAlignment="1" applyProtection="1">
      <alignment horizontal="left" vertical="center"/>
    </xf>
    <xf numFmtId="0" fontId="56" fillId="0" borderId="81" xfId="0" applyFont="1" applyBorder="1" applyAlignment="1" applyProtection="1">
      <alignment vertical="center"/>
    </xf>
    <xf numFmtId="0" fontId="17" fillId="0" borderId="86" xfId="0" applyFont="1" applyFill="1" applyBorder="1" applyAlignment="1" applyProtection="1">
      <alignment horizontal="right" vertical="center"/>
    </xf>
    <xf numFmtId="0" fontId="14" fillId="0" borderId="17" xfId="0" applyFont="1" applyBorder="1" applyAlignment="1" applyProtection="1">
      <alignment vertical="center"/>
    </xf>
    <xf numFmtId="0" fontId="14" fillId="0" borderId="185" xfId="0" applyFont="1" applyBorder="1" applyAlignment="1" applyProtection="1">
      <alignment vertical="center"/>
    </xf>
    <xf numFmtId="49" fontId="44" fillId="0" borderId="35" xfId="0" applyNumberFormat="1" applyFont="1" applyBorder="1" applyAlignment="1" applyProtection="1">
      <alignment horizontal="center" vertical="center"/>
    </xf>
    <xf numFmtId="0" fontId="44" fillId="0" borderId="35" xfId="0" applyFont="1" applyBorder="1" applyAlignment="1" applyProtection="1">
      <alignment horizontal="center" vertical="center"/>
    </xf>
    <xf numFmtId="49" fontId="81" fillId="0" borderId="147" xfId="0" applyNumberFormat="1" applyFont="1" applyBorder="1" applyAlignment="1" applyProtection="1">
      <alignment vertical="center"/>
    </xf>
    <xf numFmtId="0" fontId="14" fillId="0" borderId="81" xfId="0" applyFont="1" applyBorder="1" applyAlignment="1" applyProtection="1">
      <alignment vertical="center"/>
    </xf>
    <xf numFmtId="0" fontId="14" fillId="0" borderId="136" xfId="0" applyFont="1" applyBorder="1" applyAlignment="1" applyProtection="1">
      <alignmen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9" fontId="4" fillId="0" borderId="2" xfId="0" applyNumberFormat="1" applyFont="1" applyFill="1" applyBorder="1" applyAlignment="1" applyProtection="1">
      <alignment vertical="center"/>
    </xf>
    <xf numFmtId="0" fontId="17" fillId="0" borderId="186" xfId="0" applyFont="1" applyFill="1" applyBorder="1" applyAlignment="1" applyProtection="1">
      <alignment horizontal="right" vertical="center"/>
    </xf>
    <xf numFmtId="0" fontId="16" fillId="0" borderId="6" xfId="0" applyFont="1" applyBorder="1" applyAlignment="1" applyProtection="1">
      <alignmen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49" fontId="16" fillId="0" borderId="0" xfId="0" applyNumberFormat="1" applyFont="1" applyBorder="1" applyAlignment="1" applyProtection="1">
      <alignment horizontal="right" vertical="center"/>
    </xf>
    <xf numFmtId="0" fontId="56" fillId="0" borderId="19" xfId="0" applyFont="1" applyBorder="1" applyAlignment="1" applyProtection="1">
      <alignment horizontal="left" vertical="center"/>
    </xf>
    <xf numFmtId="0" fontId="14" fillId="0" borderId="19" xfId="0" applyFont="1" applyBorder="1" applyAlignment="1" applyProtection="1">
      <alignment horizontal="left" vertical="center"/>
    </xf>
    <xf numFmtId="180" fontId="17" fillId="0" borderId="6" xfId="0" applyNumberFormat="1" applyFont="1" applyBorder="1" applyAlignment="1" applyProtection="1">
      <alignment horizontal="right" vertical="center"/>
    </xf>
    <xf numFmtId="0" fontId="14" fillId="0" borderId="6" xfId="0" applyFont="1" applyBorder="1" applyAlignment="1" applyProtection="1">
      <alignment horizontal="right" vertical="center"/>
    </xf>
    <xf numFmtId="0" fontId="48" fillId="0" borderId="7" xfId="0" applyFont="1" applyBorder="1" applyAlignment="1" applyProtection="1">
      <alignment horizontal="right" vertical="center" wrapText="1"/>
    </xf>
    <xf numFmtId="0" fontId="16" fillId="0" borderId="6" xfId="0" applyFont="1" applyBorder="1" applyAlignment="1" applyProtection="1">
      <alignment horizontal="right" vertical="center"/>
    </xf>
    <xf numFmtId="183" fontId="56" fillId="0" borderId="90" xfId="0" applyNumberFormat="1" applyFont="1" applyBorder="1" applyAlignment="1" applyProtection="1">
      <alignment horizontal="left" vertical="center"/>
    </xf>
    <xf numFmtId="183" fontId="34" fillId="0" borderId="184" xfId="0" applyNumberFormat="1" applyFont="1" applyBorder="1" applyAlignment="1" applyProtection="1">
      <alignment horizontal="left" vertical="center"/>
    </xf>
    <xf numFmtId="49" fontId="81" fillId="0" borderId="90"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14" fillId="0" borderId="40" xfId="0" applyNumberFormat="1" applyFont="1" applyBorder="1" applyAlignment="1" applyProtection="1">
      <alignment vertical="center"/>
    </xf>
    <xf numFmtId="0" fontId="14" fillId="0" borderId="40" xfId="0" applyFont="1" applyBorder="1" applyAlignment="1" applyProtection="1">
      <alignment vertical="center"/>
    </xf>
    <xf numFmtId="49" fontId="56" fillId="0" borderId="30" xfId="0" applyNumberFormat="1" applyFont="1" applyBorder="1" applyAlignment="1" applyProtection="1">
      <alignment vertical="center"/>
    </xf>
    <xf numFmtId="49" fontId="34" fillId="0" borderId="125" xfId="0" applyNumberFormat="1" applyFont="1" applyBorder="1" applyAlignment="1" applyProtection="1">
      <alignment vertical="center"/>
    </xf>
    <xf numFmtId="49" fontId="56" fillId="0" borderId="62" xfId="0" applyNumberFormat="1" applyFont="1" applyBorder="1" applyAlignment="1" applyProtection="1">
      <alignment vertical="center"/>
    </xf>
    <xf numFmtId="0" fontId="14" fillId="0" borderId="62" xfId="0" applyFont="1" applyBorder="1" applyAlignment="1" applyProtection="1">
      <alignment vertical="center"/>
    </xf>
    <xf numFmtId="0" fontId="14" fillId="0" borderId="128" xfId="0" applyFont="1" applyBorder="1" applyAlignment="1" applyProtection="1">
      <alignment vertical="center"/>
    </xf>
    <xf numFmtId="15" fontId="36" fillId="0" borderId="86" xfId="0" applyNumberFormat="1" applyFont="1" applyBorder="1" applyAlignment="1" applyProtection="1">
      <alignment vertical="center"/>
    </xf>
    <xf numFmtId="0" fontId="44" fillId="0" borderId="17" xfId="0" applyFont="1" applyBorder="1" applyAlignment="1" applyProtection="1">
      <alignment vertical="center"/>
    </xf>
    <xf numFmtId="0" fontId="44" fillId="0" borderId="185" xfId="0" applyFont="1" applyBorder="1" applyAlignment="1" applyProtection="1">
      <alignment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xf>
    <xf numFmtId="0" fontId="14" fillId="0" borderId="0" xfId="0" applyFont="1" applyBorder="1" applyAlignment="1" applyProtection="1">
      <alignment horizontal="left" vertical="center" wrapText="1"/>
    </xf>
    <xf numFmtId="9" fontId="4" fillId="0" borderId="69" xfId="0" applyNumberFormat="1" applyFont="1" applyFill="1" applyBorder="1" applyAlignment="1" applyProtection="1">
      <alignment vertical="center" wrapText="1"/>
    </xf>
    <xf numFmtId="0" fontId="14" fillId="0" borderId="12" xfId="0" applyFont="1" applyBorder="1" applyAlignment="1" applyProtection="1">
      <alignment vertical="center" wrapText="1"/>
    </xf>
    <xf numFmtId="0" fontId="14" fillId="0" borderId="2" xfId="0" applyFont="1" applyBorder="1" applyAlignment="1" applyProtection="1">
      <alignment vertical="center" wrapText="1"/>
    </xf>
    <xf numFmtId="0" fontId="17" fillId="0" borderId="78" xfId="0" applyFont="1" applyBorder="1" applyAlignment="1" applyProtection="1">
      <alignment horizontal="right" vertical="center" wrapText="1"/>
    </xf>
    <xf numFmtId="0" fontId="14" fillId="0" borderId="6" xfId="0" applyFont="1" applyBorder="1" applyAlignment="1" applyProtection="1">
      <alignment horizontal="right" vertical="center" wrapText="1"/>
    </xf>
    <xf numFmtId="0" fontId="14" fillId="0" borderId="85" xfId="0" applyFont="1" applyBorder="1" applyAlignment="1" applyProtection="1">
      <alignment horizontal="right" vertical="center" wrapText="1"/>
    </xf>
    <xf numFmtId="168" fontId="28" fillId="0" borderId="6" xfId="0" applyNumberFormat="1" applyFont="1" applyFill="1" applyBorder="1" applyAlignment="1" applyProtection="1">
      <alignment horizontal="right" vertical="center"/>
    </xf>
    <xf numFmtId="0" fontId="28" fillId="0" borderId="6" xfId="0" applyFont="1" applyBorder="1" applyAlignment="1" applyProtection="1">
      <alignment horizontal="right" vertical="center"/>
    </xf>
    <xf numFmtId="0" fontId="28" fillId="0" borderId="6" xfId="0" applyFont="1" applyBorder="1" applyAlignment="1" applyProtection="1">
      <alignment vertical="center"/>
    </xf>
    <xf numFmtId="9" fontId="4" fillId="0" borderId="2" xfId="0" applyNumberFormat="1" applyFont="1" applyFill="1" applyBorder="1" applyAlignment="1" applyProtection="1">
      <alignment vertical="center" wrapText="1"/>
    </xf>
    <xf numFmtId="9" fontId="62" fillId="0" borderId="69" xfId="0" applyNumberFormat="1" applyFont="1" applyFill="1" applyBorder="1" applyAlignment="1" applyProtection="1">
      <alignment vertical="center" wrapText="1"/>
    </xf>
    <xf numFmtId="168" fontId="28" fillId="0" borderId="5" xfId="0" applyNumberFormat="1" applyFont="1" applyFill="1" applyBorder="1" applyAlignment="1" applyProtection="1">
      <alignment horizontal="left" vertical="center"/>
    </xf>
    <xf numFmtId="0" fontId="10" fillId="0" borderId="5" xfId="0" applyFont="1" applyBorder="1" applyAlignment="1" applyProtection="1">
      <alignment horizontal="left" vertical="center"/>
    </xf>
    <xf numFmtId="9"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0" fontId="101" fillId="3" borderId="0" xfId="13" applyFont="1" applyFill="1" applyBorder="1" applyAlignment="1" applyProtection="1">
      <alignment horizontal="right" vertical="center"/>
      <protection locked="0"/>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14" fillId="0" borderId="24" xfId="0" applyFont="1" applyBorder="1" applyAlignment="1" applyProtection="1">
      <alignment horizontal="left" vertical="center"/>
    </xf>
    <xf numFmtId="49" fontId="56" fillId="0" borderId="90" xfId="0" applyNumberFormat="1" applyFont="1" applyBorder="1" applyAlignment="1" applyProtection="1">
      <alignment vertical="center"/>
    </xf>
    <xf numFmtId="0" fontId="0" fillId="0" borderId="1" xfId="0" applyBorder="1" applyAlignment="1" applyProtection="1">
      <alignment vertical="center"/>
    </xf>
    <xf numFmtId="0" fontId="0" fillId="0" borderId="184" xfId="0" applyBorder="1" applyAlignment="1" applyProtection="1">
      <alignment vertical="center"/>
    </xf>
    <xf numFmtId="49" fontId="56" fillId="0" borderId="0" xfId="0" applyNumberFormat="1" applyFont="1" applyBorder="1" applyAlignment="1" applyProtection="1">
      <alignment vertical="center"/>
    </xf>
    <xf numFmtId="49" fontId="56" fillId="0" borderId="19" xfId="0" applyNumberFormat="1" applyFont="1" applyBorder="1" applyAlignment="1" applyProtection="1">
      <alignment horizontal="left" vertical="center"/>
    </xf>
    <xf numFmtId="49" fontId="16" fillId="0" borderId="19" xfId="0" applyNumberFormat="1" applyFont="1" applyBorder="1" applyAlignment="1" applyProtection="1">
      <alignment horizontal="left" vertical="center"/>
    </xf>
    <xf numFmtId="49" fontId="56" fillId="0" borderId="52" xfId="0" applyNumberFormat="1" applyFont="1" applyBorder="1" applyAlignment="1" applyProtection="1">
      <alignment vertical="center"/>
    </xf>
    <xf numFmtId="0" fontId="14" fillId="0" borderId="52" xfId="0" applyFont="1" applyBorder="1" applyAlignment="1" applyProtection="1">
      <alignment vertical="center"/>
    </xf>
    <xf numFmtId="0" fontId="56" fillId="0" borderId="19" xfId="0" applyFont="1" applyBorder="1" applyAlignment="1" applyProtection="1">
      <alignment vertical="center"/>
    </xf>
    <xf numFmtId="0" fontId="34" fillId="0" borderId="19" xfId="0" applyFont="1" applyBorder="1" applyAlignment="1" applyProtection="1">
      <alignment vertical="center"/>
    </xf>
    <xf numFmtId="49" fontId="14" fillId="0" borderId="24" xfId="0" applyNumberFormat="1" applyFont="1" applyBorder="1" applyAlignment="1" applyProtection="1">
      <alignment vertical="center"/>
    </xf>
    <xf numFmtId="49" fontId="56" fillId="0" borderId="81" xfId="0" applyNumberFormat="1" applyFont="1" applyBorder="1" applyAlignment="1" applyProtection="1">
      <alignment vertical="center"/>
    </xf>
    <xf numFmtId="49" fontId="0" fillId="0" borderId="81" xfId="0" applyNumberFormat="1" applyBorder="1" applyAlignment="1" applyProtection="1">
      <alignment vertical="center"/>
    </xf>
    <xf numFmtId="3" fontId="6" fillId="0" borderId="0" xfId="14" applyNumberFormat="1" applyFont="1" applyFill="1" applyBorder="1" applyAlignment="1" applyProtection="1">
      <alignment wrapText="1"/>
      <protection locked="0"/>
    </xf>
    <xf numFmtId="0" fontId="0" fillId="0" borderId="0" xfId="0" applyFill="1" applyBorder="1" applyAlignment="1">
      <alignment wrapText="1"/>
    </xf>
    <xf numFmtId="3" fontId="6" fillId="0" borderId="4" xfId="14" applyNumberFormat="1" applyFont="1" applyFill="1" applyBorder="1" applyAlignment="1" applyProtection="1">
      <alignment vertical="center" wrapText="1"/>
      <protection locked="0"/>
    </xf>
    <xf numFmtId="0" fontId="27" fillId="0" borderId="4" xfId="0" applyFont="1" applyFill="1" applyBorder="1" applyAlignment="1">
      <alignment vertical="center" wrapText="1"/>
    </xf>
    <xf numFmtId="0" fontId="15" fillId="0" borderId="0" xfId="0" applyFont="1" applyFill="1" applyBorder="1" applyAlignment="1" applyProtection="1">
      <alignment horizontal="right" vertical="center"/>
    </xf>
    <xf numFmtId="0" fontId="15" fillId="0" borderId="0" xfId="0" applyFont="1" applyBorder="1" applyAlignment="1">
      <alignment horizontal="right" vertical="center"/>
    </xf>
    <xf numFmtId="49" fontId="37" fillId="0" borderId="19" xfId="0" applyNumberFormat="1" applyFont="1" applyBorder="1" applyAlignment="1">
      <alignment horizontal="right" vertical="center"/>
    </xf>
    <xf numFmtId="0" fontId="39" fillId="0" borderId="19" xfId="0" applyFont="1" applyBorder="1" applyAlignment="1">
      <alignment horizontal="right" vertical="center"/>
    </xf>
    <xf numFmtId="0" fontId="17" fillId="11" borderId="60" xfId="0" applyFont="1" applyFill="1" applyBorder="1" applyAlignment="1" applyProtection="1">
      <alignment horizontal="right" vertical="center" wrapText="1"/>
    </xf>
    <xf numFmtId="0" fontId="17" fillId="11" borderId="5" xfId="0" applyFont="1" applyFill="1" applyBorder="1" applyAlignment="1" applyProtection="1">
      <alignment horizontal="right" vertical="center" wrapText="1"/>
    </xf>
    <xf numFmtId="0" fontId="16" fillId="11" borderId="5" xfId="0" applyFont="1" applyFill="1" applyBorder="1" applyAlignment="1" applyProtection="1">
      <alignment horizontal="right" vertical="center" wrapText="1"/>
    </xf>
    <xf numFmtId="0" fontId="16" fillId="0" borderId="5" xfId="0" applyFont="1" applyBorder="1" applyAlignment="1">
      <alignment horizontal="right" vertical="center" wrapText="1"/>
    </xf>
    <xf numFmtId="0" fontId="4" fillId="6" borderId="60" xfId="0" applyFont="1" applyFill="1" applyBorder="1" applyAlignment="1" applyProtection="1">
      <alignment horizontal="left" vertical="center" wrapText="1"/>
    </xf>
    <xf numFmtId="0" fontId="4" fillId="6" borderId="5" xfId="0" applyFont="1" applyFill="1" applyBorder="1" applyAlignment="1" applyProtection="1">
      <alignment horizontal="left" vertical="center" wrapText="1"/>
    </xf>
    <xf numFmtId="0" fontId="32" fillId="4" borderId="7" xfId="0" applyFont="1" applyFill="1" applyBorder="1" applyAlignment="1" applyProtection="1">
      <alignment horizontal="left" vertical="center" wrapText="1"/>
    </xf>
    <xf numFmtId="0" fontId="32" fillId="4" borderId="6"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6" xfId="0" applyFont="1" applyBorder="1" applyAlignment="1">
      <alignment vertical="center" wrapText="1"/>
    </xf>
    <xf numFmtId="0" fontId="17" fillId="11" borderId="61" xfId="0" applyFont="1" applyFill="1" applyBorder="1" applyAlignment="1" applyProtection="1">
      <alignment horizontal="right" vertical="center"/>
    </xf>
    <xf numFmtId="0" fontId="58" fillId="0" borderId="177" xfId="0" applyFont="1" applyFill="1" applyBorder="1" applyAlignment="1" applyProtection="1">
      <alignment horizontal="center" vertical="center" wrapText="1"/>
    </xf>
    <xf numFmtId="0" fontId="58" fillId="0" borderId="94" xfId="0" applyFont="1" applyFill="1" applyBorder="1" applyAlignment="1" applyProtection="1">
      <alignment horizontal="center" vertical="center" wrapText="1"/>
    </xf>
    <xf numFmtId="0" fontId="63" fillId="0" borderId="94" xfId="0" applyFont="1" applyBorder="1" applyAlignment="1" applyProtection="1">
      <alignment horizontal="center" vertical="center" wrapText="1"/>
    </xf>
    <xf numFmtId="0" fontId="16" fillId="0" borderId="52" xfId="0" applyFont="1" applyBorder="1" applyAlignment="1">
      <alignment horizontal="right" vertical="center" wrapText="1"/>
    </xf>
    <xf numFmtId="0" fontId="16" fillId="0" borderId="53" xfId="0" applyFont="1" applyBorder="1" applyAlignment="1">
      <alignment horizontal="right" vertical="center" wrapText="1"/>
    </xf>
    <xf numFmtId="0" fontId="16" fillId="0" borderId="180" xfId="0" applyFont="1" applyBorder="1" applyAlignment="1" applyProtection="1">
      <alignment horizontal="right" vertical="center" wrapText="1"/>
    </xf>
    <xf numFmtId="0" fontId="16" fillId="0" borderId="168" xfId="0" applyFont="1" applyBorder="1" applyAlignment="1" applyProtection="1">
      <alignment horizontal="right" vertical="center" wrapText="1"/>
    </xf>
    <xf numFmtId="0" fontId="16" fillId="0" borderId="168" xfId="0" applyFont="1" applyBorder="1" applyAlignment="1">
      <alignment horizontal="right" vertical="center" wrapText="1"/>
    </xf>
    <xf numFmtId="0" fontId="85" fillId="0" borderId="0" xfId="0" applyFont="1" applyBorder="1" applyAlignment="1">
      <alignment horizontal="center" vertical="center" wrapText="1"/>
    </xf>
    <xf numFmtId="0" fontId="0" fillId="0" borderId="0" xfId="0" applyAlignment="1">
      <alignment horizontal="center" vertical="center" wrapText="1"/>
    </xf>
    <xf numFmtId="49" fontId="34" fillId="0" borderId="24" xfId="0" applyNumberFormat="1" applyFont="1" applyBorder="1" applyAlignment="1">
      <alignment horizontal="left" vertical="center"/>
    </xf>
    <xf numFmtId="0" fontId="0" fillId="0" borderId="24" xfId="0" applyBorder="1" applyAlignment="1">
      <alignment horizontal="left" vertical="center"/>
    </xf>
    <xf numFmtId="0" fontId="32" fillId="4" borderId="78" xfId="0" applyFont="1" applyFill="1" applyBorder="1" applyAlignment="1" applyProtection="1">
      <alignment horizontal="center" vertical="center" wrapText="1"/>
    </xf>
    <xf numFmtId="0" fontId="32" fillId="4" borderId="62" xfId="0" applyFont="1" applyFill="1" applyBorder="1" applyAlignment="1" applyProtection="1">
      <alignment horizontal="center" vertical="center" wrapText="1"/>
    </xf>
    <xf numFmtId="0" fontId="31" fillId="4" borderId="62" xfId="0" applyFont="1" applyFill="1" applyBorder="1" applyAlignment="1" applyProtection="1">
      <alignment horizontal="center" vertical="center" wrapText="1"/>
    </xf>
    <xf numFmtId="0" fontId="15" fillId="0" borderId="2" xfId="0" applyFont="1" applyBorder="1" applyAlignment="1">
      <alignment horizontal="right" vertical="center"/>
    </xf>
    <xf numFmtId="0" fontId="14" fillId="0" borderId="0" xfId="0" applyFont="1" applyBorder="1" applyAlignment="1">
      <alignment horizontal="right" vertical="center"/>
    </xf>
    <xf numFmtId="180" fontId="32" fillId="0" borderId="19" xfId="0" applyNumberFormat="1" applyFont="1" applyBorder="1" applyAlignment="1">
      <alignment horizontal="left" vertical="center"/>
    </xf>
    <xf numFmtId="180" fontId="14" fillId="0" borderId="19" xfId="0" applyNumberFormat="1" applyFont="1" applyBorder="1" applyAlignment="1">
      <alignment horizontal="left" vertical="center"/>
    </xf>
    <xf numFmtId="49" fontId="34" fillId="0" borderId="19" xfId="0" applyNumberFormat="1" applyFont="1" applyBorder="1" applyAlignment="1">
      <alignment horizontal="left" vertical="center"/>
    </xf>
    <xf numFmtId="0" fontId="14" fillId="0" borderId="19" xfId="0" applyFont="1" applyBorder="1" applyAlignment="1">
      <alignment vertical="center"/>
    </xf>
    <xf numFmtId="0" fontId="14" fillId="0" borderId="0" xfId="0" applyFont="1" applyBorder="1" applyAlignment="1">
      <alignment vertical="center"/>
    </xf>
    <xf numFmtId="49" fontId="34" fillId="0" borderId="19" xfId="0" quotePrefix="1" applyNumberFormat="1" applyFont="1" applyFill="1" applyBorder="1" applyAlignment="1" applyProtection="1">
      <alignment horizontal="left" vertical="center" wrapText="1"/>
    </xf>
    <xf numFmtId="0" fontId="14" fillId="0" borderId="19" xfId="0" applyFont="1" applyBorder="1" applyAlignment="1">
      <alignment vertical="center" wrapText="1"/>
    </xf>
    <xf numFmtId="0" fontId="43" fillId="0" borderId="10" xfId="0" applyFont="1" applyBorder="1" applyAlignment="1">
      <alignment vertical="center"/>
    </xf>
    <xf numFmtId="0" fontId="44" fillId="0" borderId="11" xfId="0" applyFont="1" applyBorder="1" applyAlignment="1">
      <alignment vertical="center"/>
    </xf>
    <xf numFmtId="180" fontId="32" fillId="0" borderId="19" xfId="0" applyNumberFormat="1" applyFont="1" applyBorder="1" applyAlignment="1" applyProtection="1">
      <alignment horizontal="left" vertical="center"/>
    </xf>
    <xf numFmtId="180" fontId="14" fillId="0" borderId="19" xfId="0" applyNumberFormat="1" applyFont="1" applyBorder="1" applyAlignment="1" applyProtection="1">
      <alignment horizontal="left" vertical="center"/>
    </xf>
    <xf numFmtId="0" fontId="87" fillId="0" borderId="0" xfId="0" applyFont="1" applyBorder="1" applyAlignment="1" applyProtection="1">
      <alignment horizontal="center" vertical="center"/>
    </xf>
    <xf numFmtId="0" fontId="88" fillId="0" borderId="0" xfId="0" applyFont="1" applyBorder="1" applyAlignment="1" applyProtection="1">
      <alignment horizontal="center" vertical="center"/>
    </xf>
    <xf numFmtId="0" fontId="61" fillId="0" borderId="0" xfId="0" applyFont="1" applyBorder="1" applyAlignment="1" applyProtection="1">
      <alignment vertical="center"/>
    </xf>
    <xf numFmtId="0" fontId="37" fillId="0" borderId="42" xfId="0" applyFont="1" applyBorder="1" applyAlignment="1" applyProtection="1">
      <alignment horizontal="right" vertical="center"/>
    </xf>
    <xf numFmtId="0" fontId="37" fillId="0" borderId="21" xfId="0" applyFont="1" applyBorder="1" applyAlignment="1" applyProtection="1">
      <alignment horizontal="right" vertical="center"/>
    </xf>
    <xf numFmtId="0" fontId="14" fillId="0" borderId="21" xfId="0" applyFont="1" applyBorder="1" applyAlignment="1">
      <alignment vertical="center"/>
    </xf>
    <xf numFmtId="0" fontId="4" fillId="0" borderId="2"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0" fontId="4" fillId="0" borderId="0" xfId="0" applyFont="1" applyFill="1" applyBorder="1" applyAlignment="1" applyProtection="1">
      <alignment horizontal="left" vertical="center" wrapText="1"/>
    </xf>
    <xf numFmtId="0" fontId="48" fillId="0" borderId="2" xfId="0" applyFont="1" applyBorder="1" applyAlignment="1" applyProtection="1">
      <alignment vertical="center" wrapText="1"/>
    </xf>
    <xf numFmtId="49" fontId="34" fillId="0" borderId="19" xfId="0" applyNumberFormat="1" applyFont="1" applyBorder="1" applyAlignment="1" applyProtection="1">
      <alignment vertical="center"/>
    </xf>
    <xf numFmtId="0" fontId="7" fillId="0" borderId="96" xfId="0" applyFont="1" applyFill="1" applyBorder="1" applyAlignment="1" applyProtection="1">
      <alignment horizontal="left" vertical="center"/>
    </xf>
    <xf numFmtId="0" fontId="4" fillId="0" borderId="10" xfId="0" applyFont="1" applyBorder="1" applyAlignment="1" applyProtection="1">
      <alignment horizontal="left" vertical="center"/>
    </xf>
    <xf numFmtId="0" fontId="4" fillId="0" borderId="84" xfId="0" applyFont="1" applyBorder="1" applyAlignment="1" applyProtection="1">
      <alignment horizontal="left" vertical="center"/>
    </xf>
    <xf numFmtId="0" fontId="7" fillId="0" borderId="186" xfId="0" applyFont="1" applyFill="1" applyBorder="1" applyAlignment="1" applyProtection="1">
      <alignment horizontal="right" vertical="center"/>
    </xf>
    <xf numFmtId="0" fontId="4" fillId="0" borderId="6" xfId="0" applyFont="1" applyBorder="1" applyAlignment="1" applyProtection="1">
      <alignment vertical="center"/>
    </xf>
    <xf numFmtId="0" fontId="7" fillId="0" borderId="9" xfId="0" applyFont="1" applyBorder="1" applyAlignment="1" applyProtection="1">
      <alignment horizontal="right" vertical="center" wrapText="1"/>
    </xf>
    <xf numFmtId="0" fontId="14" fillId="0" borderId="10" xfId="0" applyFont="1" applyBorder="1" applyAlignment="1" applyProtection="1">
      <alignment horizontal="right" vertical="center" wrapText="1"/>
    </xf>
    <xf numFmtId="183" fontId="30" fillId="0" borderId="19" xfId="0" applyNumberFormat="1" applyFont="1" applyFill="1" applyBorder="1" applyAlignment="1" applyProtection="1">
      <alignment horizontal="left" vertical="center"/>
    </xf>
    <xf numFmtId="183" fontId="14" fillId="0" borderId="19" xfId="0" applyNumberFormat="1" applyFont="1" applyBorder="1" applyAlignment="1" applyProtection="1">
      <alignment vertical="center"/>
    </xf>
    <xf numFmtId="177" fontId="30" fillId="0" borderId="0" xfId="0" applyNumberFormat="1" applyFont="1" applyBorder="1" applyAlignment="1" applyProtection="1">
      <alignment horizontal="left" vertical="center"/>
    </xf>
    <xf numFmtId="177" fontId="14" fillId="0" borderId="0" xfId="0" applyNumberFormat="1" applyFont="1" applyBorder="1" applyAlignment="1" applyProtection="1">
      <alignment horizontal="left" vertical="center"/>
    </xf>
    <xf numFmtId="0" fontId="51" fillId="0" borderId="2" xfId="0" applyFont="1" applyBorder="1" applyAlignment="1">
      <alignment horizontal="right" vertical="center"/>
    </xf>
    <xf numFmtId="0" fontId="51" fillId="0" borderId="0" xfId="0" applyFont="1" applyBorder="1" applyAlignment="1">
      <alignment horizontal="right" vertical="center"/>
    </xf>
    <xf numFmtId="0" fontId="16" fillId="0" borderId="54" xfId="0" applyFont="1" applyBorder="1" applyAlignment="1">
      <alignment horizontal="right" vertical="center"/>
    </xf>
    <xf numFmtId="0" fontId="17" fillId="0" borderId="0" xfId="0" applyFont="1" applyBorder="1" applyAlignment="1">
      <alignment horizontal="right" vertical="center"/>
    </xf>
    <xf numFmtId="14" fontId="16" fillId="3" borderId="42" xfId="0" applyNumberFormat="1" applyFont="1" applyFill="1" applyBorder="1" applyAlignment="1" applyProtection="1">
      <alignment vertical="center"/>
      <protection locked="0"/>
    </xf>
    <xf numFmtId="14" fontId="16" fillId="3" borderId="21" xfId="0" applyNumberFormat="1" applyFont="1" applyFill="1" applyBorder="1" applyAlignment="1" applyProtection="1">
      <alignment vertical="center"/>
      <protection locked="0"/>
    </xf>
    <xf numFmtId="14" fontId="16" fillId="3" borderId="43" xfId="0" applyNumberFormat="1" applyFont="1" applyFill="1" applyBorder="1" applyAlignment="1" applyProtection="1">
      <alignment vertical="center"/>
      <protection locked="0"/>
    </xf>
    <xf numFmtId="0" fontId="14" fillId="0" borderId="7" xfId="0" applyFont="1" applyBorder="1" applyAlignment="1">
      <alignment horizontal="right" vertical="center"/>
    </xf>
    <xf numFmtId="0" fontId="14" fillId="0" borderId="6" xfId="0" applyFont="1" applyBorder="1" applyAlignment="1">
      <alignment horizontal="right" vertical="center"/>
    </xf>
    <xf numFmtId="0" fontId="4" fillId="0" borderId="0" xfId="0" applyFont="1" applyAlignment="1">
      <alignment horizontal="justify" vertical="center" wrapText="1"/>
    </xf>
    <xf numFmtId="0" fontId="125" fillId="0" borderId="0" xfId="0" applyFont="1" applyAlignment="1">
      <alignment wrapText="1"/>
    </xf>
    <xf numFmtId="0" fontId="7" fillId="0" borderId="0" xfId="0" applyFont="1" applyAlignment="1">
      <alignment horizontal="right"/>
    </xf>
    <xf numFmtId="0" fontId="115" fillId="0" borderId="0" xfId="0" applyFont="1" applyAlignment="1">
      <alignment horizontal="right"/>
    </xf>
    <xf numFmtId="180" fontId="4" fillId="0" borderId="0" xfId="0" applyNumberFormat="1" applyFont="1" applyAlignment="1">
      <alignment horizontal="center"/>
    </xf>
    <xf numFmtId="180" fontId="122" fillId="0" borderId="0" xfId="0" applyNumberFormat="1" applyFont="1" applyAlignment="1">
      <alignment horizontal="center"/>
    </xf>
    <xf numFmtId="0" fontId="4" fillId="0" borderId="104" xfId="0" applyFont="1" applyBorder="1" applyAlignment="1">
      <alignment horizontal="center"/>
    </xf>
    <xf numFmtId="0" fontId="4" fillId="0" borderId="196" xfId="0" applyFont="1" applyBorder="1" applyAlignment="1">
      <alignment horizontal="center"/>
    </xf>
    <xf numFmtId="0" fontId="4" fillId="0" borderId="29" xfId="0" applyFont="1" applyBorder="1" applyAlignment="1">
      <alignment horizontal="center"/>
    </xf>
    <xf numFmtId="0" fontId="0" fillId="0" borderId="178" xfId="0" applyBorder="1" applyAlignment="1"/>
    <xf numFmtId="0" fontId="4" fillId="0" borderId="178" xfId="0" applyFont="1" applyBorder="1" applyAlignment="1">
      <alignment horizontal="center"/>
    </xf>
    <xf numFmtId="0" fontId="4" fillId="0" borderId="208" xfId="0" applyFont="1" applyBorder="1" applyAlignment="1">
      <alignment horizontal="center"/>
    </xf>
    <xf numFmtId="0" fontId="4" fillId="0" borderId="107" xfId="0" quotePrefix="1" applyFont="1" applyBorder="1" applyAlignment="1">
      <alignment horizontal="center"/>
    </xf>
    <xf numFmtId="0" fontId="7" fillId="0" borderId="214" xfId="0" applyFont="1" applyBorder="1" applyAlignment="1">
      <alignment horizontal="center"/>
    </xf>
    <xf numFmtId="0" fontId="7" fillId="0" borderId="45" xfId="0" applyFont="1" applyBorder="1" applyAlignment="1">
      <alignment horizontal="center"/>
    </xf>
    <xf numFmtId="0" fontId="7" fillId="0" borderId="42" xfId="0" applyFont="1" applyBorder="1" applyAlignment="1">
      <alignment horizontal="center"/>
    </xf>
    <xf numFmtId="0" fontId="0" fillId="0" borderId="45" xfId="0" applyBorder="1" applyAlignment="1"/>
    <xf numFmtId="186" fontId="7" fillId="0" borderId="226" xfId="0" applyNumberFormat="1" applyFont="1" applyBorder="1" applyAlignment="1">
      <alignment horizontal="center"/>
    </xf>
    <xf numFmtId="0" fontId="7" fillId="0" borderId="94" xfId="0" applyFont="1" applyBorder="1" applyAlignment="1">
      <alignment horizontal="center"/>
    </xf>
    <xf numFmtId="0" fontId="7" fillId="0" borderId="72" xfId="0" applyFont="1" applyBorder="1" applyAlignment="1">
      <alignment horizontal="center"/>
    </xf>
    <xf numFmtId="0" fontId="4" fillId="0" borderId="94" xfId="0" applyFont="1" applyBorder="1" applyAlignment="1">
      <alignment horizontal="center"/>
    </xf>
    <xf numFmtId="0" fontId="4" fillId="0" borderId="72" xfId="0" applyFont="1" applyBorder="1" applyAlignment="1">
      <alignment horizontal="center"/>
    </xf>
    <xf numFmtId="0" fontId="19" fillId="3" borderId="26" xfId="0" applyFont="1" applyFill="1" applyBorder="1" applyAlignment="1" applyProtection="1">
      <alignment vertical="center"/>
      <protection locked="0"/>
    </xf>
    <xf numFmtId="0" fontId="19" fillId="3" borderId="44" xfId="0" applyFont="1" applyFill="1" applyBorder="1" applyAlignment="1" applyProtection="1">
      <alignment vertical="center"/>
      <protection locked="0"/>
    </xf>
    <xf numFmtId="0" fontId="19" fillId="3" borderId="66" xfId="0" applyFont="1" applyFill="1" applyBorder="1" applyAlignment="1" applyProtection="1">
      <alignment vertical="center"/>
      <protection locked="0"/>
    </xf>
    <xf numFmtId="0" fontId="19" fillId="3" borderId="67" xfId="0" applyFont="1" applyFill="1" applyBorder="1" applyAlignment="1" applyProtection="1">
      <alignment vertical="center"/>
      <protection locked="0"/>
    </xf>
    <xf numFmtId="0" fontId="14" fillId="0" borderId="20" xfId="0" applyFont="1" applyBorder="1" applyAlignment="1">
      <alignment vertical="center"/>
    </xf>
    <xf numFmtId="0" fontId="14" fillId="0" borderId="45" xfId="0" applyFont="1" applyBorder="1" applyAlignment="1">
      <alignment vertical="center"/>
    </xf>
    <xf numFmtId="0" fontId="19" fillId="3" borderId="191" xfId="0" applyFont="1" applyFill="1" applyBorder="1" applyAlignment="1" applyProtection="1">
      <protection locked="0"/>
    </xf>
    <xf numFmtId="0" fontId="19" fillId="3" borderId="192" xfId="0" applyFont="1" applyFill="1" applyBorder="1" applyAlignment="1" applyProtection="1">
      <protection locked="0"/>
    </xf>
    <xf numFmtId="0" fontId="19" fillId="3" borderId="190" xfId="0" applyFont="1" applyFill="1" applyBorder="1" applyAlignment="1" applyProtection="1">
      <protection locked="0"/>
    </xf>
    <xf numFmtId="0" fontId="19" fillId="3" borderId="187"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188" xfId="0" applyFont="1" applyFill="1" applyBorder="1" applyAlignment="1" applyProtection="1">
      <alignment vertical="center"/>
      <protection locked="0"/>
    </xf>
    <xf numFmtId="0" fontId="19" fillId="3" borderId="189" xfId="0" applyFont="1" applyFill="1" applyBorder="1" applyAlignment="1" applyProtection="1">
      <alignment vertical="center"/>
      <protection locked="0"/>
    </xf>
    <xf numFmtId="0" fontId="14" fillId="0" borderId="42" xfId="0" applyFont="1" applyBorder="1" applyAlignment="1">
      <alignment vertical="center"/>
    </xf>
    <xf numFmtId="0" fontId="19" fillId="3" borderId="23" xfId="0" applyFont="1" applyFill="1" applyBorder="1" applyAlignment="1" applyProtection="1">
      <protection locked="0"/>
    </xf>
    <xf numFmtId="0" fontId="15" fillId="0" borderId="7" xfId="0" applyFont="1" applyBorder="1" applyAlignment="1">
      <alignment horizontal="right" vertical="center"/>
    </xf>
    <xf numFmtId="0" fontId="15" fillId="0" borderId="6" xfId="0" applyFont="1" applyBorder="1" applyAlignment="1">
      <alignment horizontal="right" vertical="center"/>
    </xf>
    <xf numFmtId="0" fontId="7" fillId="0" borderId="29" xfId="0" applyFont="1" applyBorder="1" applyAlignment="1"/>
    <xf numFmtId="0" fontId="14" fillId="0" borderId="13" xfId="0" applyFont="1" applyBorder="1" applyAlignment="1"/>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7" fillId="0" borderId="45" xfId="0" applyFont="1" applyBorder="1" applyAlignment="1">
      <alignment horizontal="center" vertical="center"/>
    </xf>
    <xf numFmtId="0" fontId="7" fillId="0" borderId="24" xfId="0" applyFont="1" applyBorder="1" applyAlignment="1">
      <alignment horizontal="center" vertical="center" wrapText="1"/>
    </xf>
    <xf numFmtId="0" fontId="7" fillId="0" borderId="30" xfId="0" applyFont="1" applyBorder="1" applyAlignment="1">
      <alignment horizontal="center" vertical="center" wrapText="1"/>
    </xf>
    <xf numFmtId="0" fontId="4" fillId="0" borderId="0" xfId="0" applyFont="1" applyFill="1" applyBorder="1" applyAlignment="1">
      <alignment horizontal="left"/>
    </xf>
    <xf numFmtId="0" fontId="4" fillId="0" borderId="54"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4" fillId="0" borderId="0" xfId="0" applyFont="1" applyBorder="1" applyAlignment="1"/>
    <xf numFmtId="49" fontId="4"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04" xfId="0" applyBorder="1" applyAlignment="1">
      <alignment horizontal="left" vertical="top" wrapText="1"/>
    </xf>
    <xf numFmtId="0" fontId="0" fillId="0" borderId="196" xfId="0" applyBorder="1" applyAlignment="1">
      <alignment horizontal="left" vertical="top" wrapText="1"/>
    </xf>
    <xf numFmtId="49" fontId="4" fillId="0" borderId="158" xfId="0" applyNumberFormat="1" applyFont="1" applyBorder="1" applyAlignment="1"/>
    <xf numFmtId="0" fontId="0" fillId="0" borderId="158" xfId="0" applyBorder="1" applyAlignment="1"/>
    <xf numFmtId="0" fontId="0" fillId="0" borderId="197" xfId="0" applyBorder="1" applyAlignment="1"/>
    <xf numFmtId="49" fontId="4" fillId="0" borderId="0" xfId="0" applyNumberFormat="1" applyFont="1" applyAlignment="1"/>
    <xf numFmtId="0" fontId="0" fillId="0" borderId="0" xfId="0" applyAlignment="1"/>
    <xf numFmtId="0" fontId="7" fillId="0" borderId="2" xfId="0" applyFont="1" applyBorder="1" applyAlignment="1">
      <alignment horizontal="center" textRotation="180"/>
    </xf>
    <xf numFmtId="0" fontId="119" fillId="0" borderId="2" xfId="0" applyFont="1" applyBorder="1" applyAlignment="1">
      <alignment horizontal="center" textRotation="180"/>
    </xf>
    <xf numFmtId="0" fontId="119" fillId="0" borderId="33" xfId="0" applyFont="1" applyBorder="1" applyAlignment="1">
      <alignment horizontal="center" textRotation="180"/>
    </xf>
    <xf numFmtId="0" fontId="19" fillId="3" borderId="193" xfId="0" applyFont="1" applyFill="1" applyBorder="1" applyAlignment="1" applyProtection="1">
      <alignment vertical="center"/>
      <protection locked="0"/>
    </xf>
    <xf numFmtId="0" fontId="19" fillId="3" borderId="194" xfId="0" applyFont="1" applyFill="1" applyBorder="1" applyAlignment="1" applyProtection="1">
      <alignment vertical="center"/>
      <protection locked="0"/>
    </xf>
    <xf numFmtId="0" fontId="19" fillId="3" borderId="195" xfId="0" applyFont="1" applyFill="1" applyBorder="1" applyAlignment="1" applyProtection="1">
      <alignment vertical="center"/>
      <protection locked="0"/>
    </xf>
    <xf numFmtId="0" fontId="14" fillId="0" borderId="42" xfId="0" applyFont="1" applyBorder="1" applyAlignment="1">
      <alignment vertical="center" wrapText="1"/>
    </xf>
    <xf numFmtId="0" fontId="14" fillId="0" borderId="21" xfId="0" applyFont="1" applyBorder="1" applyAlignment="1">
      <alignment vertical="center" wrapText="1"/>
    </xf>
    <xf numFmtId="0" fontId="14" fillId="0" borderId="45" xfId="0" applyFont="1" applyBorder="1" applyAlignment="1">
      <alignment vertical="center" wrapText="1"/>
    </xf>
    <xf numFmtId="0" fontId="19" fillId="3" borderId="23" xfId="0" applyFont="1" applyFill="1" applyBorder="1" applyAlignment="1" applyProtection="1">
      <alignment vertical="center"/>
      <protection locked="0"/>
    </xf>
    <xf numFmtId="0" fontId="19" fillId="3" borderId="192" xfId="0" applyFont="1" applyFill="1" applyBorder="1" applyAlignment="1" applyProtection="1">
      <alignment vertical="center"/>
      <protection locked="0"/>
    </xf>
    <xf numFmtId="0" fontId="19" fillId="3" borderId="190" xfId="0" applyFont="1" applyFill="1" applyBorder="1" applyAlignment="1" applyProtection="1">
      <alignment vertical="center"/>
      <protection locked="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3095" name="AutoShape 23"/>
        <xdr:cNvSpPr>
          <a:spLocks/>
        </xdr:cNvSpPr>
      </xdr:nvSpPr>
      <xdr:spPr bwMode="auto">
        <a:xfrm>
          <a:off x="0" y="158210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647700</xdr:rowOff>
    </xdr:from>
    <xdr:to>
      <xdr:col>0</xdr:col>
      <xdr:colOff>0</xdr:colOff>
      <xdr:row>56</xdr:row>
      <xdr:rowOff>0</xdr:rowOff>
    </xdr:to>
    <xdr:sp macro="" textlink="">
      <xdr:nvSpPr>
        <xdr:cNvPr id="3099" name="AutoShape 27"/>
        <xdr:cNvSpPr>
          <a:spLocks/>
        </xdr:cNvSpPr>
      </xdr:nvSpPr>
      <xdr:spPr bwMode="auto">
        <a:xfrm>
          <a:off x="0" y="17954625"/>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57</xdr:row>
      <xdr:rowOff>647700</xdr:rowOff>
    </xdr:from>
    <xdr:to>
      <xdr:col>0</xdr:col>
      <xdr:colOff>0</xdr:colOff>
      <xdr:row>58</xdr:row>
      <xdr:rowOff>0</xdr:rowOff>
    </xdr:to>
    <xdr:sp macro="" textlink="">
      <xdr:nvSpPr>
        <xdr:cNvPr id="3102" name="AutoShape 30"/>
        <xdr:cNvSpPr>
          <a:spLocks/>
        </xdr:cNvSpPr>
      </xdr:nvSpPr>
      <xdr:spPr bwMode="auto">
        <a:xfrm>
          <a:off x="0" y="194881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28575</xdr:rowOff>
    </xdr:from>
    <xdr:to>
      <xdr:col>0</xdr:col>
      <xdr:colOff>0</xdr:colOff>
      <xdr:row>45</xdr:row>
      <xdr:rowOff>542925</xdr:rowOff>
    </xdr:to>
    <xdr:sp macro="" textlink="">
      <xdr:nvSpPr>
        <xdr:cNvPr id="3104" name="AutoShape 32"/>
        <xdr:cNvSpPr>
          <a:spLocks/>
        </xdr:cNvSpPr>
      </xdr:nvSpPr>
      <xdr:spPr bwMode="auto">
        <a:xfrm>
          <a:off x="0" y="10420350"/>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1</xdr:row>
      <xdr:rowOff>63995</xdr:rowOff>
    </xdr:from>
    <xdr:to>
      <xdr:col>3</xdr:col>
      <xdr:colOff>508000</xdr:colOff>
      <xdr:row>2</xdr:row>
      <xdr:rowOff>314325</xdr:rowOff>
    </xdr:to>
    <xdr:pic>
      <xdr:nvPicPr>
        <xdr:cNvPr id="3200" name="Picture 1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1395"/>
          <a:ext cx="3209925" cy="847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19457" name="AutoShape 1"/>
        <xdr:cNvSpPr>
          <a:spLocks/>
        </xdr:cNvSpPr>
      </xdr:nvSpPr>
      <xdr:spPr bwMode="auto">
        <a:xfrm>
          <a:off x="0" y="158210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647700</xdr:rowOff>
    </xdr:from>
    <xdr:to>
      <xdr:col>0</xdr:col>
      <xdr:colOff>0</xdr:colOff>
      <xdr:row>56</xdr:row>
      <xdr:rowOff>0</xdr:rowOff>
    </xdr:to>
    <xdr:sp macro="" textlink="">
      <xdr:nvSpPr>
        <xdr:cNvPr id="19458" name="AutoShape 2"/>
        <xdr:cNvSpPr>
          <a:spLocks/>
        </xdr:cNvSpPr>
      </xdr:nvSpPr>
      <xdr:spPr bwMode="auto">
        <a:xfrm>
          <a:off x="0" y="17954625"/>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57</xdr:row>
      <xdr:rowOff>647700</xdr:rowOff>
    </xdr:from>
    <xdr:to>
      <xdr:col>0</xdr:col>
      <xdr:colOff>0</xdr:colOff>
      <xdr:row>58</xdr:row>
      <xdr:rowOff>0</xdr:rowOff>
    </xdr:to>
    <xdr:sp macro="" textlink="">
      <xdr:nvSpPr>
        <xdr:cNvPr id="19459" name="AutoShape 3"/>
        <xdr:cNvSpPr>
          <a:spLocks/>
        </xdr:cNvSpPr>
      </xdr:nvSpPr>
      <xdr:spPr bwMode="auto">
        <a:xfrm>
          <a:off x="0" y="194881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28575</xdr:rowOff>
    </xdr:from>
    <xdr:to>
      <xdr:col>0</xdr:col>
      <xdr:colOff>0</xdr:colOff>
      <xdr:row>45</xdr:row>
      <xdr:rowOff>542925</xdr:rowOff>
    </xdr:to>
    <xdr:sp macro="" textlink="">
      <xdr:nvSpPr>
        <xdr:cNvPr id="19460" name="AutoShape 4"/>
        <xdr:cNvSpPr>
          <a:spLocks/>
        </xdr:cNvSpPr>
      </xdr:nvSpPr>
      <xdr:spPr bwMode="auto">
        <a:xfrm>
          <a:off x="0" y="10420350"/>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1</xdr:row>
      <xdr:rowOff>76200</xdr:rowOff>
    </xdr:from>
    <xdr:to>
      <xdr:col>3</xdr:col>
      <xdr:colOff>2238375</xdr:colOff>
      <xdr:row>2</xdr:row>
      <xdr:rowOff>381000</xdr:rowOff>
    </xdr:to>
    <xdr:pic>
      <xdr:nvPicPr>
        <xdr:cNvPr id="1946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666750"/>
          <a:ext cx="3409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125</xdr:row>
      <xdr:rowOff>28575</xdr:rowOff>
    </xdr:from>
    <xdr:to>
      <xdr:col>15</xdr:col>
      <xdr:colOff>190500</xdr:colOff>
      <xdr:row>126</xdr:row>
      <xdr:rowOff>152400</xdr:rowOff>
    </xdr:to>
    <xdr:sp macro="" textlink="">
      <xdr:nvSpPr>
        <xdr:cNvPr id="1030" name="AutoShape 6"/>
        <xdr:cNvSpPr>
          <a:spLocks/>
        </xdr:cNvSpPr>
      </xdr:nvSpPr>
      <xdr:spPr bwMode="auto">
        <a:xfrm>
          <a:off x="10172700" y="254889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122</xdr:row>
      <xdr:rowOff>28575</xdr:rowOff>
    </xdr:from>
    <xdr:to>
      <xdr:col>15</xdr:col>
      <xdr:colOff>190500</xdr:colOff>
      <xdr:row>123</xdr:row>
      <xdr:rowOff>152400</xdr:rowOff>
    </xdr:to>
    <xdr:sp macro="" textlink="">
      <xdr:nvSpPr>
        <xdr:cNvPr id="1031" name="AutoShape 7"/>
        <xdr:cNvSpPr>
          <a:spLocks/>
        </xdr:cNvSpPr>
      </xdr:nvSpPr>
      <xdr:spPr bwMode="auto">
        <a:xfrm>
          <a:off x="10172700" y="249174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154</xdr:row>
      <xdr:rowOff>28575</xdr:rowOff>
    </xdr:from>
    <xdr:to>
      <xdr:col>15</xdr:col>
      <xdr:colOff>190500</xdr:colOff>
      <xdr:row>155</xdr:row>
      <xdr:rowOff>152400</xdr:rowOff>
    </xdr:to>
    <xdr:sp macro="" textlink="">
      <xdr:nvSpPr>
        <xdr:cNvPr id="1032" name="AutoShape 8"/>
        <xdr:cNvSpPr>
          <a:spLocks/>
        </xdr:cNvSpPr>
      </xdr:nvSpPr>
      <xdr:spPr bwMode="auto">
        <a:xfrm>
          <a:off x="10172700" y="312134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157</xdr:row>
      <xdr:rowOff>28575</xdr:rowOff>
    </xdr:from>
    <xdr:to>
      <xdr:col>15</xdr:col>
      <xdr:colOff>190500</xdr:colOff>
      <xdr:row>158</xdr:row>
      <xdr:rowOff>152400</xdr:rowOff>
    </xdr:to>
    <xdr:sp macro="" textlink="">
      <xdr:nvSpPr>
        <xdr:cNvPr id="1033" name="AutoShape 9"/>
        <xdr:cNvSpPr>
          <a:spLocks/>
        </xdr:cNvSpPr>
      </xdr:nvSpPr>
      <xdr:spPr bwMode="auto">
        <a:xfrm>
          <a:off x="10172700" y="317849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1333500</xdr:colOff>
      <xdr:row>118</xdr:row>
      <xdr:rowOff>85725</xdr:rowOff>
    </xdr:from>
    <xdr:to>
      <xdr:col>15</xdr:col>
      <xdr:colOff>209550</xdr:colOff>
      <xdr:row>121</xdr:row>
      <xdr:rowOff>0</xdr:rowOff>
    </xdr:to>
    <xdr:sp macro="" textlink="">
      <xdr:nvSpPr>
        <xdr:cNvPr id="1036" name="AutoShape 12"/>
        <xdr:cNvSpPr>
          <a:spLocks/>
        </xdr:cNvSpPr>
      </xdr:nvSpPr>
      <xdr:spPr bwMode="auto">
        <a:xfrm>
          <a:off x="10134600" y="24212550"/>
          <a:ext cx="247650" cy="485775"/>
        </a:xfrm>
        <a:prstGeom prst="rightBrace">
          <a:avLst>
            <a:gd name="adj1" fmla="val 16346"/>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128</xdr:row>
      <xdr:rowOff>57150</xdr:rowOff>
    </xdr:from>
    <xdr:to>
      <xdr:col>15</xdr:col>
      <xdr:colOff>295275</xdr:colOff>
      <xdr:row>129</xdr:row>
      <xdr:rowOff>152400</xdr:rowOff>
    </xdr:to>
    <xdr:sp macro="" textlink="">
      <xdr:nvSpPr>
        <xdr:cNvPr id="1037" name="AutoShape 13"/>
        <xdr:cNvSpPr>
          <a:spLocks/>
        </xdr:cNvSpPr>
      </xdr:nvSpPr>
      <xdr:spPr bwMode="auto">
        <a:xfrm>
          <a:off x="10182225" y="26088975"/>
          <a:ext cx="285750" cy="2857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130</xdr:row>
      <xdr:rowOff>85725</xdr:rowOff>
    </xdr:from>
    <xdr:to>
      <xdr:col>15</xdr:col>
      <xdr:colOff>190500</xdr:colOff>
      <xdr:row>133</xdr:row>
      <xdr:rowOff>0</xdr:rowOff>
    </xdr:to>
    <xdr:sp macro="" textlink="">
      <xdr:nvSpPr>
        <xdr:cNvPr id="1038" name="AutoShape 14"/>
        <xdr:cNvSpPr>
          <a:spLocks/>
        </xdr:cNvSpPr>
      </xdr:nvSpPr>
      <xdr:spPr bwMode="auto">
        <a:xfrm>
          <a:off x="10201275" y="26498550"/>
          <a:ext cx="161925" cy="485775"/>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134</xdr:row>
      <xdr:rowOff>28575</xdr:rowOff>
    </xdr:from>
    <xdr:to>
      <xdr:col>15</xdr:col>
      <xdr:colOff>190500</xdr:colOff>
      <xdr:row>136</xdr:row>
      <xdr:rowOff>0</xdr:rowOff>
    </xdr:to>
    <xdr:sp macro="" textlink="">
      <xdr:nvSpPr>
        <xdr:cNvPr id="1039" name="AutoShape 15"/>
        <xdr:cNvSpPr>
          <a:spLocks/>
        </xdr:cNvSpPr>
      </xdr:nvSpPr>
      <xdr:spPr bwMode="auto">
        <a:xfrm>
          <a:off x="10172700" y="2720340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142</xdr:row>
      <xdr:rowOff>28575</xdr:rowOff>
    </xdr:from>
    <xdr:to>
      <xdr:col>15</xdr:col>
      <xdr:colOff>190500</xdr:colOff>
      <xdr:row>143</xdr:row>
      <xdr:rowOff>171450</xdr:rowOff>
    </xdr:to>
    <xdr:sp macro="" textlink="">
      <xdr:nvSpPr>
        <xdr:cNvPr id="1042" name="AutoShape 18"/>
        <xdr:cNvSpPr>
          <a:spLocks/>
        </xdr:cNvSpPr>
      </xdr:nvSpPr>
      <xdr:spPr bwMode="auto">
        <a:xfrm>
          <a:off x="10201275" y="2878455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137</xdr:row>
      <xdr:rowOff>0</xdr:rowOff>
    </xdr:from>
    <xdr:to>
      <xdr:col>15</xdr:col>
      <xdr:colOff>247650</xdr:colOff>
      <xdr:row>138</xdr:row>
      <xdr:rowOff>152400</xdr:rowOff>
    </xdr:to>
    <xdr:sp macro="" textlink="">
      <xdr:nvSpPr>
        <xdr:cNvPr id="1045" name="AutoShape 21"/>
        <xdr:cNvSpPr>
          <a:spLocks/>
        </xdr:cNvSpPr>
      </xdr:nvSpPr>
      <xdr:spPr bwMode="auto">
        <a:xfrm>
          <a:off x="10210800" y="27746325"/>
          <a:ext cx="209550" cy="342900"/>
        </a:xfrm>
        <a:prstGeom prst="rightBrace">
          <a:avLst>
            <a:gd name="adj1" fmla="val 1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161</xdr:row>
      <xdr:rowOff>0</xdr:rowOff>
    </xdr:from>
    <xdr:to>
      <xdr:col>15</xdr:col>
      <xdr:colOff>190500</xdr:colOff>
      <xdr:row>161</xdr:row>
      <xdr:rowOff>0</xdr:rowOff>
    </xdr:to>
    <xdr:sp macro="" textlink="">
      <xdr:nvSpPr>
        <xdr:cNvPr id="1046" name="AutoShape 22"/>
        <xdr:cNvSpPr>
          <a:spLocks/>
        </xdr:cNvSpPr>
      </xdr:nvSpPr>
      <xdr:spPr bwMode="auto">
        <a:xfrm>
          <a:off x="10201275" y="3252787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161</xdr:row>
      <xdr:rowOff>0</xdr:rowOff>
    </xdr:from>
    <xdr:to>
      <xdr:col>15</xdr:col>
      <xdr:colOff>190500</xdr:colOff>
      <xdr:row>161</xdr:row>
      <xdr:rowOff>0</xdr:rowOff>
    </xdr:to>
    <xdr:sp macro="" textlink="">
      <xdr:nvSpPr>
        <xdr:cNvPr id="1047" name="AutoShape 23"/>
        <xdr:cNvSpPr>
          <a:spLocks/>
        </xdr:cNvSpPr>
      </xdr:nvSpPr>
      <xdr:spPr bwMode="auto">
        <a:xfrm>
          <a:off x="10172700" y="325278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116</xdr:row>
      <xdr:rowOff>38100</xdr:rowOff>
    </xdr:from>
    <xdr:to>
      <xdr:col>15</xdr:col>
      <xdr:colOff>219075</xdr:colOff>
      <xdr:row>117</xdr:row>
      <xdr:rowOff>161925</xdr:rowOff>
    </xdr:to>
    <xdr:sp macro="" textlink="">
      <xdr:nvSpPr>
        <xdr:cNvPr id="1072" name="AutoShape 48"/>
        <xdr:cNvSpPr>
          <a:spLocks/>
        </xdr:cNvSpPr>
      </xdr:nvSpPr>
      <xdr:spPr bwMode="auto">
        <a:xfrm>
          <a:off x="10201275" y="237839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162</xdr:row>
      <xdr:rowOff>28575</xdr:rowOff>
    </xdr:from>
    <xdr:to>
      <xdr:col>15</xdr:col>
      <xdr:colOff>190500</xdr:colOff>
      <xdr:row>163</xdr:row>
      <xdr:rowOff>171450</xdr:rowOff>
    </xdr:to>
    <xdr:sp macro="" textlink="">
      <xdr:nvSpPr>
        <xdr:cNvPr id="1073" name="AutoShape 49"/>
        <xdr:cNvSpPr>
          <a:spLocks/>
        </xdr:cNvSpPr>
      </xdr:nvSpPr>
      <xdr:spPr bwMode="auto">
        <a:xfrm>
          <a:off x="10201275" y="3267075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0</xdr:row>
      <xdr:rowOff>66675</xdr:rowOff>
    </xdr:from>
    <xdr:to>
      <xdr:col>4</xdr:col>
      <xdr:colOff>209550</xdr:colOff>
      <xdr:row>2</xdr:row>
      <xdr:rowOff>0</xdr:rowOff>
    </xdr:to>
    <xdr:pic>
      <xdr:nvPicPr>
        <xdr:cNvPr id="1075" name="Picture 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666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0</xdr:colOff>
      <xdr:row>14</xdr:row>
      <xdr:rowOff>0</xdr:rowOff>
    </xdr:to>
    <xdr:sp macro="" textlink="">
      <xdr:nvSpPr>
        <xdr:cNvPr id="16387" name="AutoShape 3"/>
        <xdr:cNvSpPr>
          <a:spLocks/>
        </xdr:cNvSpPr>
      </xdr:nvSpPr>
      <xdr:spPr bwMode="auto">
        <a:xfrm>
          <a:off x="0" y="46291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16388" name="AutoShape 4"/>
        <xdr:cNvSpPr>
          <a:spLocks/>
        </xdr:cNvSpPr>
      </xdr:nvSpPr>
      <xdr:spPr bwMode="auto">
        <a:xfrm>
          <a:off x="0" y="10315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14</xdr:row>
      <xdr:rowOff>19050</xdr:rowOff>
    </xdr:from>
    <xdr:to>
      <xdr:col>0</xdr:col>
      <xdr:colOff>0</xdr:colOff>
      <xdr:row>21</xdr:row>
      <xdr:rowOff>542925</xdr:rowOff>
    </xdr:to>
    <xdr:sp macro="" textlink="">
      <xdr:nvSpPr>
        <xdr:cNvPr id="16389" name="AutoShape 5"/>
        <xdr:cNvSpPr>
          <a:spLocks/>
        </xdr:cNvSpPr>
      </xdr:nvSpPr>
      <xdr:spPr bwMode="auto">
        <a:xfrm>
          <a:off x="0" y="46482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647700</xdr:rowOff>
    </xdr:from>
    <xdr:to>
      <xdr:col>0</xdr:col>
      <xdr:colOff>0</xdr:colOff>
      <xdr:row>26</xdr:row>
      <xdr:rowOff>0</xdr:rowOff>
    </xdr:to>
    <xdr:sp macro="" textlink="">
      <xdr:nvSpPr>
        <xdr:cNvPr id="16390" name="AutoShape 6"/>
        <xdr:cNvSpPr>
          <a:spLocks/>
        </xdr:cNvSpPr>
      </xdr:nvSpPr>
      <xdr:spPr bwMode="auto">
        <a:xfrm>
          <a:off x="0" y="111633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19050</xdr:rowOff>
    </xdr:from>
    <xdr:to>
      <xdr:col>0</xdr:col>
      <xdr:colOff>19050</xdr:colOff>
      <xdr:row>28</xdr:row>
      <xdr:rowOff>0</xdr:rowOff>
    </xdr:to>
    <xdr:sp macro="" textlink="">
      <xdr:nvSpPr>
        <xdr:cNvPr id="16391" name="AutoShape 7"/>
        <xdr:cNvSpPr>
          <a:spLocks/>
        </xdr:cNvSpPr>
      </xdr:nvSpPr>
      <xdr:spPr bwMode="auto">
        <a:xfrm>
          <a:off x="0" y="113347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16392" name="AutoShape 8"/>
        <xdr:cNvSpPr>
          <a:spLocks/>
        </xdr:cNvSpPr>
      </xdr:nvSpPr>
      <xdr:spPr bwMode="auto">
        <a:xfrm>
          <a:off x="0" y="10315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647700</xdr:rowOff>
    </xdr:from>
    <xdr:to>
      <xdr:col>0</xdr:col>
      <xdr:colOff>0</xdr:colOff>
      <xdr:row>29</xdr:row>
      <xdr:rowOff>0</xdr:rowOff>
    </xdr:to>
    <xdr:sp macro="" textlink="">
      <xdr:nvSpPr>
        <xdr:cNvPr id="16393" name="AutoShape 9"/>
        <xdr:cNvSpPr>
          <a:spLocks/>
        </xdr:cNvSpPr>
      </xdr:nvSpPr>
      <xdr:spPr bwMode="auto">
        <a:xfrm>
          <a:off x="0" y="12925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19050</xdr:colOff>
      <xdr:row>29</xdr:row>
      <xdr:rowOff>0</xdr:rowOff>
    </xdr:to>
    <xdr:sp macro="" textlink="">
      <xdr:nvSpPr>
        <xdr:cNvPr id="16394" name="AutoShape 10"/>
        <xdr:cNvSpPr>
          <a:spLocks/>
        </xdr:cNvSpPr>
      </xdr:nvSpPr>
      <xdr:spPr bwMode="auto">
        <a:xfrm>
          <a:off x="0" y="129254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19050</xdr:colOff>
      <xdr:row>29</xdr:row>
      <xdr:rowOff>0</xdr:rowOff>
    </xdr:to>
    <xdr:sp macro="" textlink="">
      <xdr:nvSpPr>
        <xdr:cNvPr id="16400" name="AutoShape 16"/>
        <xdr:cNvSpPr>
          <a:spLocks/>
        </xdr:cNvSpPr>
      </xdr:nvSpPr>
      <xdr:spPr bwMode="auto">
        <a:xfrm>
          <a:off x="0" y="129254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200025</xdr:colOff>
      <xdr:row>1</xdr:row>
      <xdr:rowOff>38100</xdr:rowOff>
    </xdr:from>
    <xdr:to>
      <xdr:col>3</xdr:col>
      <xdr:colOff>85725</xdr:colOff>
      <xdr:row>3</xdr:row>
      <xdr:rowOff>104775</xdr:rowOff>
    </xdr:to>
    <xdr:pic>
      <xdr:nvPicPr>
        <xdr:cNvPr id="16401"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381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31</xdr:row>
      <xdr:rowOff>28575</xdr:rowOff>
    </xdr:from>
    <xdr:to>
      <xdr:col>17</xdr:col>
      <xdr:colOff>190500</xdr:colOff>
      <xdr:row>32</xdr:row>
      <xdr:rowOff>152400</xdr:rowOff>
    </xdr:to>
    <xdr:sp macro="" textlink="">
      <xdr:nvSpPr>
        <xdr:cNvPr id="17411" name="AutoShape 3"/>
        <xdr:cNvSpPr>
          <a:spLocks/>
        </xdr:cNvSpPr>
      </xdr:nvSpPr>
      <xdr:spPr bwMode="auto">
        <a:xfrm>
          <a:off x="9896475" y="7058025"/>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28</xdr:row>
      <xdr:rowOff>28575</xdr:rowOff>
    </xdr:from>
    <xdr:to>
      <xdr:col>17</xdr:col>
      <xdr:colOff>190500</xdr:colOff>
      <xdr:row>29</xdr:row>
      <xdr:rowOff>152400</xdr:rowOff>
    </xdr:to>
    <xdr:sp macro="" textlink="">
      <xdr:nvSpPr>
        <xdr:cNvPr id="17412" name="AutoShape 4"/>
        <xdr:cNvSpPr>
          <a:spLocks/>
        </xdr:cNvSpPr>
      </xdr:nvSpPr>
      <xdr:spPr bwMode="auto">
        <a:xfrm>
          <a:off x="9896475" y="6524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24</xdr:row>
      <xdr:rowOff>161925</xdr:rowOff>
    </xdr:from>
    <xdr:to>
      <xdr:col>17</xdr:col>
      <xdr:colOff>190500</xdr:colOff>
      <xdr:row>27</xdr:row>
      <xdr:rowOff>0</xdr:rowOff>
    </xdr:to>
    <xdr:sp macro="" textlink="">
      <xdr:nvSpPr>
        <xdr:cNvPr id="17413" name="AutoShape 5"/>
        <xdr:cNvSpPr>
          <a:spLocks/>
        </xdr:cNvSpPr>
      </xdr:nvSpPr>
      <xdr:spPr bwMode="auto">
        <a:xfrm>
          <a:off x="9896475" y="5895975"/>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34</xdr:row>
      <xdr:rowOff>9525</xdr:rowOff>
    </xdr:from>
    <xdr:to>
      <xdr:col>17</xdr:col>
      <xdr:colOff>190500</xdr:colOff>
      <xdr:row>35</xdr:row>
      <xdr:rowOff>152400</xdr:rowOff>
    </xdr:to>
    <xdr:sp macro="" textlink="">
      <xdr:nvSpPr>
        <xdr:cNvPr id="17414" name="AutoShape 6"/>
        <xdr:cNvSpPr>
          <a:spLocks/>
        </xdr:cNvSpPr>
      </xdr:nvSpPr>
      <xdr:spPr bwMode="auto">
        <a:xfrm>
          <a:off x="9925050" y="7705725"/>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37</xdr:row>
      <xdr:rowOff>28575</xdr:rowOff>
    </xdr:from>
    <xdr:to>
      <xdr:col>17</xdr:col>
      <xdr:colOff>190500</xdr:colOff>
      <xdr:row>39</xdr:row>
      <xdr:rowOff>0</xdr:rowOff>
    </xdr:to>
    <xdr:sp macro="" textlink="">
      <xdr:nvSpPr>
        <xdr:cNvPr id="17415" name="AutoShape 7"/>
        <xdr:cNvSpPr>
          <a:spLocks/>
        </xdr:cNvSpPr>
      </xdr:nvSpPr>
      <xdr:spPr bwMode="auto">
        <a:xfrm>
          <a:off x="9896475" y="842010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40</xdr:row>
      <xdr:rowOff>0</xdr:rowOff>
    </xdr:from>
    <xdr:to>
      <xdr:col>17</xdr:col>
      <xdr:colOff>190500</xdr:colOff>
      <xdr:row>42</xdr:row>
      <xdr:rowOff>0</xdr:rowOff>
    </xdr:to>
    <xdr:sp macro="" textlink="">
      <xdr:nvSpPr>
        <xdr:cNvPr id="17416" name="AutoShape 8"/>
        <xdr:cNvSpPr>
          <a:spLocks/>
        </xdr:cNvSpPr>
      </xdr:nvSpPr>
      <xdr:spPr bwMode="auto">
        <a:xfrm>
          <a:off x="9906000" y="9058275"/>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42</xdr:row>
      <xdr:rowOff>180975</xdr:rowOff>
    </xdr:from>
    <xdr:to>
      <xdr:col>17</xdr:col>
      <xdr:colOff>238125</xdr:colOff>
      <xdr:row>44</xdr:row>
      <xdr:rowOff>152400</xdr:rowOff>
    </xdr:to>
    <xdr:sp macro="" textlink="">
      <xdr:nvSpPr>
        <xdr:cNvPr id="17417" name="AutoShape 9"/>
        <xdr:cNvSpPr>
          <a:spLocks/>
        </xdr:cNvSpPr>
      </xdr:nvSpPr>
      <xdr:spPr bwMode="auto">
        <a:xfrm>
          <a:off x="9934575" y="9620250"/>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49</xdr:row>
      <xdr:rowOff>28575</xdr:rowOff>
    </xdr:from>
    <xdr:to>
      <xdr:col>17</xdr:col>
      <xdr:colOff>190500</xdr:colOff>
      <xdr:row>50</xdr:row>
      <xdr:rowOff>152400</xdr:rowOff>
    </xdr:to>
    <xdr:sp macro="" textlink="">
      <xdr:nvSpPr>
        <xdr:cNvPr id="17424" name="AutoShape 16"/>
        <xdr:cNvSpPr>
          <a:spLocks/>
        </xdr:cNvSpPr>
      </xdr:nvSpPr>
      <xdr:spPr bwMode="auto">
        <a:xfrm>
          <a:off x="9896475" y="113061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28575</xdr:rowOff>
    </xdr:from>
    <xdr:to>
      <xdr:col>17</xdr:col>
      <xdr:colOff>190500</xdr:colOff>
      <xdr:row>53</xdr:row>
      <xdr:rowOff>152400</xdr:rowOff>
    </xdr:to>
    <xdr:sp macro="" textlink="">
      <xdr:nvSpPr>
        <xdr:cNvPr id="17425" name="AutoShape 17"/>
        <xdr:cNvSpPr>
          <a:spLocks/>
        </xdr:cNvSpPr>
      </xdr:nvSpPr>
      <xdr:spPr bwMode="auto">
        <a:xfrm>
          <a:off x="9896475" y="11877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22</xdr:row>
      <xdr:rowOff>28575</xdr:rowOff>
    </xdr:from>
    <xdr:to>
      <xdr:col>18</xdr:col>
      <xdr:colOff>9525</xdr:colOff>
      <xdr:row>23</xdr:row>
      <xdr:rowOff>161925</xdr:rowOff>
    </xdr:to>
    <xdr:sp macro="" textlink="">
      <xdr:nvSpPr>
        <xdr:cNvPr id="17430" name="AutoShape 22"/>
        <xdr:cNvSpPr>
          <a:spLocks/>
        </xdr:cNvSpPr>
      </xdr:nvSpPr>
      <xdr:spPr bwMode="auto">
        <a:xfrm>
          <a:off x="9934575" y="5381625"/>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381000</xdr:colOff>
      <xdr:row>0</xdr:row>
      <xdr:rowOff>276225</xdr:rowOff>
    </xdr:from>
    <xdr:to>
      <xdr:col>2</xdr:col>
      <xdr:colOff>276225</xdr:colOff>
      <xdr:row>3</xdr:row>
      <xdr:rowOff>28575</xdr:rowOff>
    </xdr:to>
    <xdr:pic>
      <xdr:nvPicPr>
        <xdr:cNvPr id="17439"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76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25" name="Line 5"/>
        <xdr:cNvSpPr>
          <a:spLocks noChangeShapeType="1"/>
        </xdr:cNvSpPr>
      </xdr:nvSpPr>
      <xdr:spPr bwMode="auto">
        <a:xfrm>
          <a:off x="6677025" y="1495425"/>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26" name="Line 6"/>
        <xdr:cNvSpPr>
          <a:spLocks noChangeShapeType="1"/>
        </xdr:cNvSpPr>
      </xdr:nvSpPr>
      <xdr:spPr bwMode="auto">
        <a:xfrm flipH="1">
          <a:off x="6667500" y="1504950"/>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ublicworks.gov.za/Documents%20and%20Settings/user/Local%20Settings/Temporary%20Internet%20Files/OLK7A/DRAFT%20QSFeeAccts_2011%20Apr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sheetName val="Scales"/>
      <sheetName val="2010"/>
      <sheetName val="Summary"/>
      <sheetName val="S1 BW Single Category"/>
      <sheetName val="S2 Eng Single Category"/>
      <sheetName val="S3 BW Typical"/>
      <sheetName val="S4 BW Multiple Category"/>
      <sheetName val="S5 Eng Typical"/>
      <sheetName val="S6 Eng Multiple Category"/>
      <sheetName val="S7 BoQ Value"/>
      <sheetName val="S8 BoQ Time"/>
      <sheetName val="Previous Payments"/>
      <sheetName val="Time Charges"/>
      <sheetName val="Travelling Time &amp; Transport"/>
      <sheetName val="Typing &amp; Printing"/>
      <sheetName val="Other Charges"/>
      <sheetName val="NonTaxable"/>
      <sheetName val="Help"/>
      <sheetName val="CAT_BLDG"/>
      <sheetName val="SERVICES"/>
    </sheetNames>
    <sheetDataSet>
      <sheetData sheetId="0"/>
      <sheetData sheetId="1"/>
      <sheetData sheetId="2">
        <row r="76">
          <cell r="C76" t="str">
            <v>BoQ &amp; Eng BoQ Contracts with Bills of Provisional Quantities</v>
          </cell>
          <cell r="D76">
            <v>2.5</v>
          </cell>
          <cell r="E76">
            <v>5</v>
          </cell>
          <cell r="F76">
            <v>7.5</v>
          </cell>
          <cell r="G76">
            <v>17.5</v>
          </cell>
          <cell r="H76">
            <v>62.5</v>
          </cell>
          <cell r="I76">
            <v>5</v>
          </cell>
        </row>
        <row r="77">
          <cell r="C77" t="str">
            <v>BoQ &amp; Eng BoQ Contracts with Bills of Quantities</v>
          </cell>
          <cell r="D77">
            <v>2.5</v>
          </cell>
          <cell r="E77">
            <v>5</v>
          </cell>
          <cell r="F77">
            <v>7.5</v>
          </cell>
          <cell r="G77">
            <v>35</v>
          </cell>
          <cell r="H77">
            <v>45</v>
          </cell>
          <cell r="I77">
            <v>5</v>
          </cell>
        </row>
        <row r="78">
          <cell r="C78" t="str">
            <v>BoQ &amp; Eng BoQ Contracts with Schedule of Rates</v>
          </cell>
          <cell r="D78">
            <v>2.5</v>
          </cell>
          <cell r="E78">
            <v>5</v>
          </cell>
          <cell r="F78">
            <v>7.5</v>
          </cell>
          <cell r="G78">
            <v>12.5</v>
          </cell>
          <cell r="H78">
            <v>67.5</v>
          </cell>
          <cell r="I78">
            <v>5</v>
          </cell>
        </row>
        <row r="79">
          <cell r="C79" t="str">
            <v>Builders' quantities</v>
          </cell>
          <cell r="D79">
            <v>0</v>
          </cell>
          <cell r="E79">
            <v>0</v>
          </cell>
          <cell r="F79">
            <v>0</v>
          </cell>
          <cell r="G79">
            <v>100</v>
          </cell>
          <cell r="H79">
            <v>0</v>
          </cell>
          <cell r="I79">
            <v>0</v>
          </cell>
        </row>
        <row r="80">
          <cell r="C80" t="str">
            <v>Contracts with performance-based BoQ</v>
          </cell>
          <cell r="D80">
            <v>0</v>
          </cell>
          <cell r="E80">
            <v>0</v>
          </cell>
          <cell r="F80">
            <v>0</v>
          </cell>
          <cell r="G80">
            <v>0</v>
          </cell>
          <cell r="H80">
            <v>0</v>
          </cell>
          <cell r="I80">
            <v>0</v>
          </cell>
        </row>
        <row r="81">
          <cell r="C81" t="str">
            <v>Contracts with-out BoQ</v>
          </cell>
          <cell r="D81">
            <v>2.5</v>
          </cell>
          <cell r="E81">
            <v>7.5</v>
          </cell>
          <cell r="F81">
            <v>10</v>
          </cell>
          <cell r="G81">
            <v>20</v>
          </cell>
          <cell r="H81">
            <v>52.5</v>
          </cell>
          <cell r="I81">
            <v>7.5</v>
          </cell>
        </row>
        <row r="82">
          <cell r="C82" t="str">
            <v>Cost norms</v>
          </cell>
          <cell r="D82">
            <v>5</v>
          </cell>
          <cell r="E82">
            <v>5</v>
          </cell>
          <cell r="F82">
            <v>15</v>
          </cell>
          <cell r="G82">
            <v>20</v>
          </cell>
          <cell r="H82">
            <v>25</v>
          </cell>
          <cell r="I82">
            <v>10</v>
          </cell>
        </row>
        <row r="83">
          <cell r="C83" t="str">
            <v>Cost-plus contracts</v>
          </cell>
          <cell r="D83">
            <v>2.5</v>
          </cell>
          <cell r="E83">
            <v>7.5</v>
          </cell>
          <cell r="F83">
            <v>10</v>
          </cell>
          <cell r="G83">
            <v>15</v>
          </cell>
          <cell r="H83">
            <v>57.5</v>
          </cell>
          <cell r="I83">
            <v>7.5</v>
          </cell>
        </row>
        <row r="84">
          <cell r="C84" t="str">
            <v>Multiple procurement contracts</v>
          </cell>
          <cell r="D84">
            <v>2.5</v>
          </cell>
          <cell r="E84">
            <v>5</v>
          </cell>
          <cell r="F84">
            <v>7.5</v>
          </cell>
          <cell r="G84">
            <v>35</v>
          </cell>
          <cell r="H84">
            <v>45</v>
          </cell>
          <cell r="I84">
            <v>5</v>
          </cell>
        </row>
        <row r="85">
          <cell r="C85" t="str">
            <v>Not Applicable</v>
          </cell>
          <cell r="D85">
            <v>0</v>
          </cell>
          <cell r="E85">
            <v>0</v>
          </cell>
          <cell r="F85">
            <v>0</v>
          </cell>
          <cell r="G85">
            <v>0</v>
          </cell>
          <cell r="H85">
            <v>0</v>
          </cell>
          <cell r="I85">
            <v>0</v>
          </cell>
        </row>
        <row r="86">
          <cell r="C86" t="str">
            <v>Payment valuations</v>
          </cell>
          <cell r="D86">
            <v>0</v>
          </cell>
          <cell r="E86">
            <v>0</v>
          </cell>
          <cell r="F86">
            <v>0</v>
          </cell>
          <cell r="G86">
            <v>0</v>
          </cell>
          <cell r="H86">
            <v>92.5</v>
          </cell>
          <cell r="I86">
            <v>7.5</v>
          </cell>
        </row>
        <row r="87">
          <cell r="C87" t="str">
            <v>Principal agency</v>
          </cell>
          <cell r="D87">
            <v>0</v>
          </cell>
          <cell r="E87">
            <v>0</v>
          </cell>
          <cell r="F87">
            <v>7.5</v>
          </cell>
          <cell r="G87">
            <v>7.5</v>
          </cell>
          <cell r="H87">
            <v>70</v>
          </cell>
          <cell r="I87">
            <v>15</v>
          </cell>
        </row>
        <row r="88">
          <cell r="C88" t="str">
            <v>Principal consultancy</v>
          </cell>
          <cell r="D88">
            <v>20</v>
          </cell>
          <cell r="E88">
            <v>20</v>
          </cell>
          <cell r="F88">
            <v>20</v>
          </cell>
          <cell r="G88">
            <v>20</v>
          </cell>
          <cell r="H88">
            <v>20</v>
          </cell>
          <cell r="I88">
            <v>0</v>
          </cell>
        </row>
        <row r="89">
          <cell r="C89" t="str">
            <v>Project monitoring</v>
          </cell>
          <cell r="D89">
            <v>2.5</v>
          </cell>
          <cell r="E89">
            <v>5</v>
          </cell>
          <cell r="F89">
            <v>10</v>
          </cell>
          <cell r="G89">
            <v>17.5</v>
          </cell>
          <cell r="H89">
            <v>50</v>
          </cell>
          <cell r="I89">
            <v>15</v>
          </cell>
        </row>
        <row r="90">
          <cell r="C90" t="str">
            <v>Quality inspection</v>
          </cell>
          <cell r="D90">
            <v>0</v>
          </cell>
          <cell r="E90">
            <v>0</v>
          </cell>
          <cell r="F90">
            <v>0</v>
          </cell>
          <cell r="G90">
            <v>0</v>
          </cell>
          <cell r="H90">
            <v>85</v>
          </cell>
          <cell r="I90">
            <v>15</v>
          </cell>
        </row>
        <row r="91">
          <cell r="C91" t="str">
            <v>Replication of prototype</v>
          </cell>
          <cell r="D91">
            <v>2.5</v>
          </cell>
          <cell r="E91">
            <v>5</v>
          </cell>
          <cell r="F91">
            <v>5</v>
          </cell>
          <cell r="G91">
            <v>17.5</v>
          </cell>
          <cell r="H91">
            <v>62.5</v>
          </cell>
          <cell r="I91">
            <v>7.5</v>
          </cell>
        </row>
        <row r="92">
          <cell r="C92" t="str">
            <v>Schedule of materials</v>
          </cell>
          <cell r="D92">
            <v>0</v>
          </cell>
          <cell r="E92">
            <v>0</v>
          </cell>
          <cell r="F92">
            <v>0</v>
          </cell>
          <cell r="G92">
            <v>100</v>
          </cell>
          <cell r="H92">
            <v>0</v>
          </cell>
          <cell r="I92">
            <v>0</v>
          </cell>
        </row>
        <row r="93">
          <cell r="C93" t="str">
            <v>Simplified BoQ Contracts with Bills of Provisional Quantities</v>
          </cell>
          <cell r="D93">
            <v>2.5</v>
          </cell>
          <cell r="E93">
            <v>7.5</v>
          </cell>
          <cell r="F93">
            <v>10</v>
          </cell>
          <cell r="G93">
            <v>17.5</v>
          </cell>
          <cell r="H93">
            <v>55</v>
          </cell>
          <cell r="I93">
            <v>7.5</v>
          </cell>
        </row>
        <row r="94">
          <cell r="C94" t="str">
            <v>Simplified BoQ Contracts with Bills of Quantities</v>
          </cell>
          <cell r="D94">
            <v>2.5</v>
          </cell>
          <cell r="E94">
            <v>7.5</v>
          </cell>
          <cell r="F94">
            <v>10</v>
          </cell>
          <cell r="G94">
            <v>35</v>
          </cell>
          <cell r="H94">
            <v>37.5</v>
          </cell>
          <cell r="I94">
            <v>7.5</v>
          </cell>
        </row>
        <row r="95">
          <cell r="C95" t="str">
            <v>Simplified BoQ Contracts with Schedule of Rates</v>
          </cell>
          <cell r="D95">
            <v>2.5</v>
          </cell>
          <cell r="E95">
            <v>7.5</v>
          </cell>
          <cell r="F95">
            <v>10</v>
          </cell>
          <cell r="G95">
            <v>12.5</v>
          </cell>
          <cell r="H95">
            <v>60</v>
          </cell>
          <cell r="I95">
            <v>7.5</v>
          </cell>
        </row>
        <row r="96">
          <cell r="C96" t="str">
            <v>Targeted procurement</v>
          </cell>
          <cell r="D96">
            <v>0</v>
          </cell>
          <cell r="E96">
            <v>0</v>
          </cell>
          <cell r="F96">
            <v>0</v>
          </cell>
          <cell r="G96">
            <v>20</v>
          </cell>
          <cell r="H96">
            <v>60</v>
          </cell>
          <cell r="I96">
            <v>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E100"/>
  <sheetViews>
    <sheetView zoomScaleNormal="100" zoomScaleSheetLayoutView="100" workbookViewId="0">
      <selection activeCell="A37" sqref="A37"/>
    </sheetView>
  </sheetViews>
  <sheetFormatPr defaultRowHeight="15" x14ac:dyDescent="0.2"/>
  <cols>
    <col min="1" max="1" width="4.88671875" customWidth="1"/>
    <col min="2" max="2" width="77" customWidth="1"/>
  </cols>
  <sheetData>
    <row r="1" spans="1:5" ht="30" x14ac:dyDescent="0.2">
      <c r="A1" s="390"/>
      <c r="B1" s="391" t="s">
        <v>305</v>
      </c>
    </row>
    <row r="2" spans="1:5" x14ac:dyDescent="0.2">
      <c r="A2" s="390"/>
      <c r="B2" s="449"/>
    </row>
    <row r="3" spans="1:5" x14ac:dyDescent="0.2">
      <c r="A3" s="390"/>
      <c r="B3" s="390"/>
      <c r="D3" s="146"/>
      <c r="E3" s="147"/>
    </row>
    <row r="4" spans="1:5" x14ac:dyDescent="0.2">
      <c r="A4" s="390"/>
      <c r="B4" s="391" t="s">
        <v>267</v>
      </c>
    </row>
    <row r="5" spans="1:5" x14ac:dyDescent="0.2">
      <c r="A5" s="390"/>
      <c r="B5" s="390"/>
    </row>
    <row r="6" spans="1:5" x14ac:dyDescent="0.2">
      <c r="A6" s="392" t="s">
        <v>34</v>
      </c>
      <c r="B6" s="125" t="s">
        <v>152</v>
      </c>
    </row>
    <row r="7" spans="1:5" x14ac:dyDescent="0.2">
      <c r="A7" s="390"/>
      <c r="B7" s="125"/>
    </row>
    <row r="8" spans="1:5" ht="42.75" x14ac:dyDescent="0.2">
      <c r="A8" s="392">
        <v>1</v>
      </c>
      <c r="B8" s="393" t="s">
        <v>268</v>
      </c>
    </row>
    <row r="9" spans="1:5" x14ac:dyDescent="0.2">
      <c r="A9" s="392"/>
      <c r="B9" s="390"/>
    </row>
    <row r="10" spans="1:5" ht="71.25" x14ac:dyDescent="0.2">
      <c r="A10" s="392">
        <v>2</v>
      </c>
      <c r="B10" s="394" t="s">
        <v>269</v>
      </c>
    </row>
    <row r="11" spans="1:5" x14ac:dyDescent="0.2">
      <c r="A11" s="392"/>
      <c r="B11" s="395"/>
    </row>
    <row r="12" spans="1:5" ht="28.5" x14ac:dyDescent="0.2">
      <c r="A12" s="392">
        <v>3</v>
      </c>
      <c r="B12" s="390" t="s">
        <v>270</v>
      </c>
    </row>
    <row r="13" spans="1:5" x14ac:dyDescent="0.2">
      <c r="A13" s="392"/>
      <c r="B13" s="395"/>
    </row>
    <row r="14" spans="1:5" ht="28.5" x14ac:dyDescent="0.2">
      <c r="A14" s="392">
        <v>4</v>
      </c>
      <c r="B14" s="390" t="s">
        <v>271</v>
      </c>
    </row>
    <row r="15" spans="1:5" x14ac:dyDescent="0.2">
      <c r="A15" s="392"/>
      <c r="B15" s="390"/>
    </row>
    <row r="16" spans="1:5" ht="28.5" x14ac:dyDescent="0.2">
      <c r="A16" s="392">
        <v>5</v>
      </c>
      <c r="B16" s="390" t="s">
        <v>272</v>
      </c>
    </row>
    <row r="17" spans="1:2" x14ac:dyDescent="0.2">
      <c r="A17" s="392"/>
      <c r="B17" s="390"/>
    </row>
    <row r="18" spans="1:2" ht="28.5" x14ac:dyDescent="0.2">
      <c r="A18" s="392">
        <v>6</v>
      </c>
      <c r="B18" s="395" t="s">
        <v>273</v>
      </c>
    </row>
    <row r="19" spans="1:2" x14ac:dyDescent="0.2">
      <c r="A19" s="392"/>
      <c r="B19" s="395"/>
    </row>
    <row r="20" spans="1:2" ht="57" x14ac:dyDescent="0.2">
      <c r="A20" s="392">
        <v>7</v>
      </c>
      <c r="B20" s="393" t="s">
        <v>274</v>
      </c>
    </row>
    <row r="21" spans="1:2" x14ac:dyDescent="0.2">
      <c r="A21" s="392"/>
      <c r="B21" s="390"/>
    </row>
    <row r="22" spans="1:2" ht="28.5" x14ac:dyDescent="0.2">
      <c r="A22" s="392">
        <v>8</v>
      </c>
      <c r="B22" s="390" t="s">
        <v>275</v>
      </c>
    </row>
    <row r="23" spans="1:2" x14ac:dyDescent="0.2">
      <c r="A23" s="392"/>
      <c r="B23" s="390"/>
    </row>
    <row r="24" spans="1:2" ht="42.75" x14ac:dyDescent="0.2">
      <c r="A24" s="392">
        <v>9</v>
      </c>
      <c r="B24" s="390" t="s">
        <v>276</v>
      </c>
    </row>
    <row r="25" spans="1:2" x14ac:dyDescent="0.2">
      <c r="A25" s="392"/>
      <c r="B25" s="390"/>
    </row>
    <row r="26" spans="1:2" ht="60" x14ac:dyDescent="0.2">
      <c r="A26" s="392">
        <v>10</v>
      </c>
      <c r="B26" s="396" t="s">
        <v>277</v>
      </c>
    </row>
    <row r="27" spans="1:2" x14ac:dyDescent="0.2">
      <c r="A27" s="392"/>
      <c r="B27" s="391"/>
    </row>
    <row r="28" spans="1:2" ht="30" x14ac:dyDescent="0.2">
      <c r="A28" s="392">
        <v>11</v>
      </c>
      <c r="B28" s="391" t="s">
        <v>153</v>
      </c>
    </row>
    <row r="29" spans="1:2" x14ac:dyDescent="0.2">
      <c r="A29" s="392"/>
      <c r="B29" s="391"/>
    </row>
    <row r="30" spans="1:2" ht="28.5" x14ac:dyDescent="0.2">
      <c r="A30" s="392">
        <v>12</v>
      </c>
      <c r="B30" s="390" t="s">
        <v>278</v>
      </c>
    </row>
    <row r="31" spans="1:2" x14ac:dyDescent="0.2">
      <c r="A31" s="392"/>
      <c r="B31" s="390"/>
    </row>
    <row r="32" spans="1:2" x14ac:dyDescent="0.2">
      <c r="A32" s="392">
        <v>13</v>
      </c>
      <c r="B32" s="393" t="s">
        <v>279</v>
      </c>
    </row>
    <row r="33" spans="1:2" x14ac:dyDescent="0.2">
      <c r="A33" s="392"/>
      <c r="B33" s="393"/>
    </row>
    <row r="34" spans="1:2" x14ac:dyDescent="0.2">
      <c r="A34" s="392">
        <v>14</v>
      </c>
      <c r="B34" s="393" t="s">
        <v>280</v>
      </c>
    </row>
    <row r="35" spans="1:2" x14ac:dyDescent="0.2">
      <c r="A35" s="392"/>
      <c r="B35" s="390"/>
    </row>
    <row r="36" spans="1:2" x14ac:dyDescent="0.2">
      <c r="A36" s="392"/>
      <c r="B36" s="391"/>
    </row>
    <row r="37" spans="1:2" x14ac:dyDescent="0.2">
      <c r="A37" s="1463" t="s">
        <v>36</v>
      </c>
      <c r="B37" s="391" t="s">
        <v>154</v>
      </c>
    </row>
    <row r="38" spans="1:2" x14ac:dyDescent="0.2">
      <c r="A38" s="392"/>
      <c r="B38" s="390"/>
    </row>
    <row r="39" spans="1:2" x14ac:dyDescent="0.2">
      <c r="A39" s="392">
        <v>1</v>
      </c>
      <c r="B39" s="390" t="s">
        <v>155</v>
      </c>
    </row>
    <row r="40" spans="1:2" x14ac:dyDescent="0.2">
      <c r="A40" s="392"/>
      <c r="B40" s="390"/>
    </row>
    <row r="41" spans="1:2" ht="28.5" x14ac:dyDescent="0.2">
      <c r="A41" s="392">
        <v>2</v>
      </c>
      <c r="B41" s="390" t="s">
        <v>281</v>
      </c>
    </row>
    <row r="42" spans="1:2" x14ac:dyDescent="0.2">
      <c r="A42" s="392"/>
      <c r="B42" s="125"/>
    </row>
    <row r="43" spans="1:2" x14ac:dyDescent="0.2">
      <c r="A43" s="392">
        <v>3</v>
      </c>
      <c r="B43" s="390" t="s">
        <v>156</v>
      </c>
    </row>
    <row r="44" spans="1:2" x14ac:dyDescent="0.2">
      <c r="A44" s="392"/>
      <c r="B44" s="390"/>
    </row>
    <row r="45" spans="1:2" ht="28.5" x14ac:dyDescent="0.2">
      <c r="A45" s="392">
        <v>4</v>
      </c>
      <c r="B45" s="390" t="s">
        <v>157</v>
      </c>
    </row>
    <row r="46" spans="1:2" x14ac:dyDescent="0.2">
      <c r="A46" s="392"/>
      <c r="B46" s="395"/>
    </row>
    <row r="47" spans="1:2" ht="28.5" x14ac:dyDescent="0.2">
      <c r="A47" s="392">
        <v>5</v>
      </c>
      <c r="B47" s="390" t="s">
        <v>158</v>
      </c>
    </row>
    <row r="48" spans="1:2" x14ac:dyDescent="0.2">
      <c r="A48" s="392"/>
      <c r="B48" s="390"/>
    </row>
    <row r="49" spans="1:2" ht="57" x14ac:dyDescent="0.2">
      <c r="A49" s="392">
        <v>6</v>
      </c>
      <c r="B49" s="393" t="s">
        <v>159</v>
      </c>
    </row>
    <row r="50" spans="1:2" x14ac:dyDescent="0.2">
      <c r="A50" s="392"/>
      <c r="B50" s="390"/>
    </row>
    <row r="51" spans="1:2" ht="42.75" x14ac:dyDescent="0.2">
      <c r="A51" s="392">
        <v>7</v>
      </c>
      <c r="B51" s="390" t="s">
        <v>411</v>
      </c>
    </row>
    <row r="52" spans="1:2" x14ac:dyDescent="0.2">
      <c r="A52" s="392"/>
      <c r="B52" s="390"/>
    </row>
    <row r="53" spans="1:2" ht="57" x14ac:dyDescent="0.2">
      <c r="A53" s="392">
        <v>8</v>
      </c>
      <c r="B53" s="393" t="s">
        <v>160</v>
      </c>
    </row>
    <row r="54" spans="1:2" x14ac:dyDescent="0.2">
      <c r="A54" s="392"/>
      <c r="B54" s="393"/>
    </row>
    <row r="55" spans="1:2" ht="42.75" x14ac:dyDescent="0.2">
      <c r="A55" s="392">
        <v>9</v>
      </c>
      <c r="B55" s="393" t="s">
        <v>282</v>
      </c>
    </row>
    <row r="56" spans="1:2" x14ac:dyDescent="0.2">
      <c r="A56" s="392"/>
      <c r="B56" s="390"/>
    </row>
    <row r="57" spans="1:2" ht="28.5" x14ac:dyDescent="0.2">
      <c r="A57" s="392">
        <v>10</v>
      </c>
      <c r="B57" s="390" t="s">
        <v>283</v>
      </c>
    </row>
    <row r="58" spans="1:2" x14ac:dyDescent="0.2">
      <c r="A58" s="392"/>
      <c r="B58" s="393"/>
    </row>
    <row r="59" spans="1:2" ht="28.5" x14ac:dyDescent="0.2">
      <c r="A59" s="392">
        <v>11</v>
      </c>
      <c r="B59" s="393" t="s">
        <v>284</v>
      </c>
    </row>
    <row r="60" spans="1:2" x14ac:dyDescent="0.2">
      <c r="A60" s="392"/>
      <c r="B60" s="393"/>
    </row>
    <row r="61" spans="1:2" ht="42.75" x14ac:dyDescent="0.2">
      <c r="A61" s="392">
        <v>12</v>
      </c>
      <c r="B61" s="393" t="s">
        <v>285</v>
      </c>
    </row>
    <row r="62" spans="1:2" x14ac:dyDescent="0.2">
      <c r="A62" s="392"/>
      <c r="B62" s="390"/>
    </row>
    <row r="63" spans="1:2" ht="15.75" x14ac:dyDescent="0.2">
      <c r="A63" s="1099" t="s">
        <v>38</v>
      </c>
      <c r="B63" s="1100" t="s">
        <v>445</v>
      </c>
    </row>
    <row r="64" spans="1:2" x14ac:dyDescent="0.2">
      <c r="A64" s="1101"/>
      <c r="B64" s="1102"/>
    </row>
    <row r="65" spans="1:2" ht="45" x14ac:dyDescent="0.2">
      <c r="A65" s="1101"/>
      <c r="B65" s="1103" t="s">
        <v>446</v>
      </c>
    </row>
    <row r="66" spans="1:2" x14ac:dyDescent="0.2">
      <c r="A66" s="1101"/>
      <c r="B66" s="1102"/>
    </row>
    <row r="67" spans="1:2" x14ac:dyDescent="0.2">
      <c r="A67" s="1101" t="s">
        <v>447</v>
      </c>
      <c r="B67" s="1102" t="s">
        <v>448</v>
      </c>
    </row>
    <row r="68" spans="1:2" x14ac:dyDescent="0.2">
      <c r="A68" s="1101"/>
      <c r="B68" s="1102"/>
    </row>
    <row r="69" spans="1:2" x14ac:dyDescent="0.2">
      <c r="A69" s="1101" t="s">
        <v>449</v>
      </c>
      <c r="B69" s="1102" t="s">
        <v>450</v>
      </c>
    </row>
    <row r="70" spans="1:2" x14ac:dyDescent="0.2">
      <c r="A70" s="1101"/>
      <c r="B70" s="1102"/>
    </row>
    <row r="71" spans="1:2" ht="30" x14ac:dyDescent="0.2">
      <c r="A71" s="1101" t="s">
        <v>451</v>
      </c>
      <c r="B71" s="1102" t="s">
        <v>452</v>
      </c>
    </row>
    <row r="72" spans="1:2" x14ac:dyDescent="0.2">
      <c r="A72" s="1101"/>
      <c r="B72" s="1102"/>
    </row>
    <row r="73" spans="1:2" x14ac:dyDescent="0.2">
      <c r="A73" s="1101" t="s">
        <v>453</v>
      </c>
      <c r="B73" s="1104" t="s">
        <v>454</v>
      </c>
    </row>
    <row r="74" spans="1:2" x14ac:dyDescent="0.2">
      <c r="A74" s="1101"/>
      <c r="B74" s="1102"/>
    </row>
    <row r="75" spans="1:2" ht="30" x14ac:dyDescent="0.2">
      <c r="A75" s="1101" t="s">
        <v>455</v>
      </c>
      <c r="B75" s="1102" t="s">
        <v>456</v>
      </c>
    </row>
    <row r="76" spans="1:2" x14ac:dyDescent="0.2">
      <c r="A76" s="1101"/>
      <c r="B76" s="1102"/>
    </row>
    <row r="77" spans="1:2" ht="30" x14ac:dyDescent="0.2">
      <c r="A77" s="1101" t="s">
        <v>457</v>
      </c>
      <c r="B77" s="1104" t="s">
        <v>458</v>
      </c>
    </row>
    <row r="78" spans="1:2" x14ac:dyDescent="0.2">
      <c r="A78" s="1101"/>
      <c r="B78" s="1102"/>
    </row>
    <row r="79" spans="1:2" ht="30" x14ac:dyDescent="0.2">
      <c r="A79" s="1101" t="s">
        <v>459</v>
      </c>
      <c r="B79" s="1102" t="s">
        <v>460</v>
      </c>
    </row>
    <row r="80" spans="1:2" x14ac:dyDescent="0.2">
      <c r="A80" s="1101"/>
      <c r="B80" s="1102"/>
    </row>
    <row r="81" spans="1:2" x14ac:dyDescent="0.2">
      <c r="A81" s="1101"/>
      <c r="B81" s="1102"/>
    </row>
    <row r="82" spans="1:2" x14ac:dyDescent="0.2">
      <c r="A82" s="1101">
        <f>A61+1</f>
        <v>13</v>
      </c>
      <c r="B82" s="1102" t="s">
        <v>24</v>
      </c>
    </row>
    <row r="83" spans="1:2" ht="25.5" x14ac:dyDescent="0.2">
      <c r="A83" s="1101"/>
      <c r="B83" s="1105" t="s">
        <v>461</v>
      </c>
    </row>
    <row r="97" spans="1:1" x14ac:dyDescent="0.2">
      <c r="A97" s="440" t="s">
        <v>287</v>
      </c>
    </row>
    <row r="100" spans="1:1" x14ac:dyDescent="0.2">
      <c r="A100" s="450" t="s">
        <v>313</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36"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H116"/>
  <sheetViews>
    <sheetView topLeftCell="A31" zoomScale="75" zoomScaleNormal="70" zoomScaleSheetLayoutView="70" workbookViewId="0">
      <selection activeCell="D6" sqref="D6"/>
    </sheetView>
  </sheetViews>
  <sheetFormatPr defaultRowHeight="15" x14ac:dyDescent="0.2"/>
  <cols>
    <col min="1" max="1" width="18.33203125" customWidth="1"/>
    <col min="2" max="2" width="3.88671875" customWidth="1"/>
    <col min="3" max="3" width="10.44140625" customWidth="1"/>
    <col min="4" max="4" width="27.77734375" customWidth="1"/>
    <col min="5" max="5" width="19.109375" customWidth="1"/>
    <col min="6" max="6" width="21" customWidth="1"/>
    <col min="7" max="7" width="18.6640625" customWidth="1"/>
    <col min="8" max="8" width="16.44140625" customWidth="1"/>
  </cols>
  <sheetData>
    <row r="1" spans="1:8" ht="62.25" customHeight="1" thickTop="1" thickBot="1" x14ac:dyDescent="0.25">
      <c r="A1" s="1514" t="s">
        <v>462</v>
      </c>
      <c r="B1" s="1515"/>
      <c r="C1" s="1515"/>
      <c r="D1" s="1515"/>
      <c r="E1" s="1515"/>
      <c r="F1" s="1515"/>
      <c r="G1" s="1515"/>
      <c r="H1" s="1516"/>
    </row>
    <row r="2" spans="1:8" ht="46.5" customHeight="1" thickTop="1" x14ac:dyDescent="0.2">
      <c r="A2" s="512"/>
      <c r="B2" s="532"/>
      <c r="C2" s="532"/>
      <c r="D2" s="489"/>
      <c r="E2" s="1519" t="str">
        <f>IF(E9="b","USE BUILDING PROJECT INVOICE!!!",CONCATENATE(D8,"  ",""))</f>
        <v xml:space="preserve">CIVIL &amp; STRUCTURAL ENGINEERING  </v>
      </c>
      <c r="F2" s="1520"/>
      <c r="G2" s="1520"/>
      <c r="H2" s="140"/>
    </row>
    <row r="3" spans="1:8" ht="31.5" customHeight="1" thickBot="1" x14ac:dyDescent="0.25">
      <c r="A3" s="199"/>
      <c r="B3" s="141"/>
      <c r="C3" s="141"/>
      <c r="D3" s="141"/>
      <c r="E3" s="1517" t="str">
        <f>IF(E9="b","USE BUILDING PROJECT INVOICE!!!",CONCATENATE(D9,":  ",D20," NDPW FEES"))</f>
        <v>ENGINEERING PROJECT:  2010 NDPW FEES</v>
      </c>
      <c r="F3" s="1518"/>
      <c r="G3" s="1518"/>
      <c r="H3" s="678" t="s">
        <v>463</v>
      </c>
    </row>
    <row r="4" spans="1:8" ht="18" customHeight="1" thickTop="1" x14ac:dyDescent="0.2">
      <c r="A4" s="623"/>
      <c r="B4" s="590"/>
      <c r="C4" s="591" t="s">
        <v>303</v>
      </c>
      <c r="D4" s="655"/>
      <c r="E4" s="559"/>
      <c r="F4" s="558" t="s">
        <v>302</v>
      </c>
      <c r="G4" s="1529"/>
      <c r="H4" s="1530"/>
    </row>
    <row r="5" spans="1:8" ht="18" customHeight="1" x14ac:dyDescent="0.2">
      <c r="A5" s="624"/>
      <c r="B5" s="592"/>
      <c r="C5" s="593" t="s">
        <v>304</v>
      </c>
      <c r="D5" s="656"/>
      <c r="E5" s="560"/>
      <c r="F5" s="550" t="s">
        <v>242</v>
      </c>
      <c r="G5" s="589"/>
      <c r="H5" s="646"/>
    </row>
    <row r="6" spans="1:8" ht="18" customHeight="1" x14ac:dyDescent="0.2">
      <c r="A6" s="624"/>
      <c r="B6" s="592"/>
      <c r="C6" s="593" t="s">
        <v>323</v>
      </c>
      <c r="D6" s="662"/>
      <c r="E6" s="560"/>
      <c r="F6" s="175" t="s">
        <v>266</v>
      </c>
      <c r="G6" s="589"/>
      <c r="H6" s="646"/>
    </row>
    <row r="7" spans="1:8" ht="18" customHeight="1" x14ac:dyDescent="0.2">
      <c r="A7" s="624"/>
      <c r="B7" s="592"/>
      <c r="C7" s="593" t="s">
        <v>241</v>
      </c>
      <c r="D7" s="657"/>
      <c r="E7" s="560"/>
      <c r="F7" s="24" t="s">
        <v>262</v>
      </c>
      <c r="G7" s="589"/>
      <c r="H7" s="561"/>
    </row>
    <row r="8" spans="1:8" ht="18" customHeight="1" x14ac:dyDescent="0.2">
      <c r="A8" s="624"/>
      <c r="B8" s="592"/>
      <c r="C8" s="593" t="s">
        <v>314</v>
      </c>
      <c r="D8" s="1505" t="s">
        <v>315</v>
      </c>
      <c r="E8" s="1474"/>
      <c r="F8" s="175" t="s">
        <v>240</v>
      </c>
      <c r="G8" s="1512"/>
      <c r="H8" s="1513"/>
    </row>
    <row r="9" spans="1:8" ht="18" customHeight="1" x14ac:dyDescent="0.2">
      <c r="A9" s="624"/>
      <c r="B9" s="592"/>
      <c r="C9" s="594" t="s">
        <v>124</v>
      </c>
      <c r="D9" s="463" t="s">
        <v>290</v>
      </c>
      <c r="E9" s="462" t="str">
        <f>IF(D9="BUILDING PROJECT","B","E")</f>
        <v>E</v>
      </c>
      <c r="F9" s="1004"/>
      <c r="G9" s="1005"/>
      <c r="H9" s="130"/>
    </row>
    <row r="10" spans="1:8" ht="18" customHeight="1" x14ac:dyDescent="0.2">
      <c r="A10" s="1009"/>
      <c r="B10" s="1068"/>
      <c r="C10" s="1069" t="s">
        <v>423</v>
      </c>
      <c r="D10" s="1070" t="s">
        <v>442</v>
      </c>
      <c r="E10" s="1071" t="str">
        <f>IF($D$10="Yes", "NO OF DAYS","")</f>
        <v/>
      </c>
      <c r="F10" s="1072">
        <v>1</v>
      </c>
      <c r="G10" s="1073" t="str">
        <f>IF($D$10="Yes", "RATE","")</f>
        <v/>
      </c>
      <c r="H10" s="1074">
        <v>0</v>
      </c>
    </row>
    <row r="11" spans="1:8" ht="18" customHeight="1" thickBot="1" x14ac:dyDescent="0.25">
      <c r="A11" s="625"/>
      <c r="B11" s="600"/>
      <c r="C11" s="597" t="s">
        <v>118</v>
      </c>
      <c r="D11" s="528"/>
      <c r="E11" s="1531"/>
      <c r="F11" s="1532"/>
      <c r="G11" s="1532"/>
      <c r="H11" s="1533"/>
    </row>
    <row r="12" spans="1:8" ht="18" customHeight="1" thickTop="1" x14ac:dyDescent="0.2">
      <c r="A12" s="626"/>
      <c r="B12" s="598"/>
      <c r="C12" s="599" t="s">
        <v>324</v>
      </c>
      <c r="D12" s="1529"/>
      <c r="E12" s="1534"/>
      <c r="F12" s="1534"/>
      <c r="G12" s="1534"/>
      <c r="H12" s="1535"/>
    </row>
    <row r="13" spans="1:8" ht="18" customHeight="1" x14ac:dyDescent="0.2">
      <c r="A13" s="624"/>
      <c r="B13" s="592"/>
      <c r="C13" s="593" t="s">
        <v>161</v>
      </c>
      <c r="D13" s="1527"/>
      <c r="E13" s="1528"/>
      <c r="F13" s="1528"/>
      <c r="G13" s="647" t="s">
        <v>376</v>
      </c>
      <c r="H13" s="636"/>
    </row>
    <row r="14" spans="1:8" ht="18" customHeight="1" x14ac:dyDescent="0.2">
      <c r="A14" s="624"/>
      <c r="B14" s="592"/>
      <c r="C14" s="593" t="s">
        <v>363</v>
      </c>
      <c r="D14" s="1506"/>
      <c r="E14" s="1507"/>
      <c r="F14" s="1507"/>
      <c r="G14" s="647" t="s">
        <v>376</v>
      </c>
      <c r="H14" s="637"/>
    </row>
    <row r="15" spans="1:8" ht="18" customHeight="1" x14ac:dyDescent="0.2">
      <c r="A15" s="624"/>
      <c r="B15" s="592"/>
      <c r="C15" s="593" t="s">
        <v>162</v>
      </c>
      <c r="D15" s="377"/>
      <c r="E15" s="648" t="s">
        <v>243</v>
      </c>
      <c r="F15" s="546"/>
      <c r="G15" s="648" t="s">
        <v>244</v>
      </c>
      <c r="H15" s="562"/>
    </row>
    <row r="16" spans="1:8" ht="18" customHeight="1" thickBot="1" x14ac:dyDescent="0.25">
      <c r="A16" s="624"/>
      <c r="B16" s="592"/>
      <c r="C16" s="593" t="s">
        <v>240</v>
      </c>
      <c r="D16" s="1510"/>
      <c r="E16" s="1511"/>
      <c r="F16" s="378"/>
      <c r="G16" s="175"/>
      <c r="H16" s="542"/>
    </row>
    <row r="17" spans="1:8" ht="18" customHeight="1" thickTop="1" x14ac:dyDescent="0.2">
      <c r="A17" s="624"/>
      <c r="B17" s="592"/>
      <c r="C17" s="593" t="s">
        <v>114</v>
      </c>
      <c r="D17" s="658"/>
      <c r="E17" s="379">
        <f>IF(D17="none", "none",D17)</f>
        <v>0</v>
      </c>
      <c r="F17" s="619" t="s">
        <v>246</v>
      </c>
      <c r="G17" s="1521" t="s">
        <v>301</v>
      </c>
      <c r="H17" s="1522"/>
    </row>
    <row r="18" spans="1:8" ht="18" customHeight="1" x14ac:dyDescent="0.2">
      <c r="A18" s="624"/>
      <c r="B18" s="592"/>
      <c r="C18" s="593" t="s">
        <v>245</v>
      </c>
      <c r="D18" s="659"/>
      <c r="E18" s="142" t="str">
        <f>IF(D18="","&lt;--ERROR","")</f>
        <v>&lt;--ERROR</v>
      </c>
      <c r="F18" s="543"/>
      <c r="G18" s="1523"/>
      <c r="H18" s="1524"/>
    </row>
    <row r="19" spans="1:8" ht="18" customHeight="1" x14ac:dyDescent="0.2">
      <c r="A19" s="624"/>
      <c r="B19" s="595"/>
      <c r="C19" s="593" t="s">
        <v>29</v>
      </c>
      <c r="D19" s="660"/>
      <c r="E19" s="142"/>
      <c r="F19" s="544"/>
      <c r="G19" s="1525"/>
      <c r="H19" s="1526"/>
    </row>
    <row r="20" spans="1:8" ht="18" customHeight="1" thickBot="1" x14ac:dyDescent="0.25">
      <c r="A20" s="625"/>
      <c r="B20" s="596"/>
      <c r="C20" s="597" t="s">
        <v>163</v>
      </c>
      <c r="D20" s="601">
        <v>2010</v>
      </c>
      <c r="E20" s="602">
        <f>IF(D20=2010,1)</f>
        <v>1</v>
      </c>
      <c r="F20" s="610" t="s">
        <v>247</v>
      </c>
      <c r="G20" s="1478"/>
      <c r="H20" s="1479"/>
    </row>
    <row r="21" spans="1:8" ht="18" customHeight="1" thickTop="1" x14ac:dyDescent="0.2">
      <c r="A21" s="1496" t="str">
        <f>IF(E20=1,"Fee in accordance with the National Department of Public Works Scope of Engineering Services and Tariff of Fees for Persons Registered in terms of the Engineering Profession Act, 2000 (Act No. 46 of 2000) dated 1 February 2010.",IF(E20=9," Government Gazette No 31749 of 2 January 2009",""))</f>
        <v>Fee in accordance with the National Department of Public Works Scope of Engineering Services and Tariff of Fees for Persons Registered in terms of the Engineering Profession Act, 2000 (Act No. 46 of 2000) dated 1 February 2010.</v>
      </c>
      <c r="B21" s="1497"/>
      <c r="C21" s="1497"/>
      <c r="D21" s="1497"/>
      <c r="E21" s="1498"/>
      <c r="F21" s="610" t="s">
        <v>248</v>
      </c>
      <c r="G21" s="1478"/>
      <c r="H21" s="1479"/>
    </row>
    <row r="22" spans="1:8" ht="18" customHeight="1" x14ac:dyDescent="0.2">
      <c r="A22" s="1499"/>
      <c r="B22" s="1500"/>
      <c r="C22" s="1500"/>
      <c r="D22" s="1500"/>
      <c r="E22" s="1501"/>
      <c r="F22" s="610" t="s">
        <v>249</v>
      </c>
      <c r="G22" s="1494"/>
      <c r="H22" s="1479"/>
    </row>
    <row r="23" spans="1:8" ht="18" customHeight="1" x14ac:dyDescent="0.2">
      <c r="A23" s="1499"/>
      <c r="B23" s="1500"/>
      <c r="C23" s="1500"/>
      <c r="D23" s="1500"/>
      <c r="E23" s="1501"/>
      <c r="F23" s="610" t="s">
        <v>114</v>
      </c>
      <c r="G23" s="1508" t="s">
        <v>444</v>
      </c>
      <c r="H23" s="1509"/>
    </row>
    <row r="24" spans="1:8" ht="27.75" customHeight="1" thickBot="1" x14ac:dyDescent="0.25">
      <c r="A24" s="1502"/>
      <c r="B24" s="1503"/>
      <c r="C24" s="1503"/>
      <c r="D24" s="1503"/>
      <c r="E24" s="1504"/>
      <c r="F24" s="611" t="s">
        <v>364</v>
      </c>
      <c r="G24" s="1478"/>
      <c r="H24" s="1479"/>
    </row>
    <row r="25" spans="1:8" ht="18" customHeight="1" thickTop="1" x14ac:dyDescent="0.2">
      <c r="A25" s="1485" t="s">
        <v>30</v>
      </c>
      <c r="B25" s="1486"/>
      <c r="C25" s="1487"/>
      <c r="D25" s="777" t="str">
        <f>IF(H48&lt;H36,"USE TIME BASED FEES","PERCENTAGE BASED FEES")</f>
        <v>USE TIME BASED FEES</v>
      </c>
      <c r="E25" s="124"/>
      <c r="F25" s="612" t="s">
        <v>250</v>
      </c>
      <c r="G25" s="1478"/>
      <c r="H25" s="1479"/>
    </row>
    <row r="26" spans="1:8" ht="18" customHeight="1" x14ac:dyDescent="0.2">
      <c r="A26" s="627"/>
      <c r="B26" s="608"/>
      <c r="C26" s="609" t="s">
        <v>236</v>
      </c>
      <c r="D26" s="649">
        <v>100</v>
      </c>
      <c r="E26" s="478" t="s">
        <v>325</v>
      </c>
      <c r="F26" s="612" t="s">
        <v>251</v>
      </c>
      <c r="G26" s="1478"/>
      <c r="H26" s="1479"/>
    </row>
    <row r="27" spans="1:8" ht="18" customHeight="1" x14ac:dyDescent="0.2">
      <c r="A27" s="628"/>
      <c r="B27" s="603"/>
      <c r="C27" s="604" t="s">
        <v>141</v>
      </c>
      <c r="D27" s="661"/>
      <c r="E27" s="381"/>
      <c r="F27" s="613" t="s">
        <v>376</v>
      </c>
      <c r="G27" s="1494"/>
      <c r="H27" s="1495"/>
    </row>
    <row r="28" spans="1:8" ht="18" customHeight="1" x14ac:dyDescent="0.2">
      <c r="A28" s="624"/>
      <c r="B28" s="592"/>
      <c r="C28" s="593" t="s">
        <v>19</v>
      </c>
      <c r="D28" s="662"/>
      <c r="E28" s="381"/>
      <c r="F28" s="614" t="s">
        <v>242</v>
      </c>
      <c r="G28" s="1478"/>
      <c r="H28" s="1479"/>
    </row>
    <row r="29" spans="1:8" ht="18" customHeight="1" x14ac:dyDescent="0.2">
      <c r="A29" s="624"/>
      <c r="B29" s="592"/>
      <c r="C29" s="593" t="s">
        <v>119</v>
      </c>
      <c r="D29" s="658"/>
      <c r="E29" s="381"/>
      <c r="F29" s="615" t="s">
        <v>252</v>
      </c>
      <c r="G29" s="1478"/>
      <c r="H29" s="1479"/>
    </row>
    <row r="30" spans="1:8" ht="18" customHeight="1" thickBot="1" x14ac:dyDescent="0.25">
      <c r="A30" s="624"/>
      <c r="B30" s="592"/>
      <c r="C30" s="593" t="s">
        <v>253</v>
      </c>
      <c r="D30" s="658"/>
      <c r="E30" s="555"/>
      <c r="F30" s="616" t="s">
        <v>254</v>
      </c>
      <c r="G30" s="1480"/>
      <c r="H30" s="1481"/>
    </row>
    <row r="31" spans="1:8" ht="18" customHeight="1" thickTop="1" x14ac:dyDescent="0.2">
      <c r="A31" s="624"/>
      <c r="B31" s="605"/>
      <c r="C31" s="1075" t="str">
        <f>IF(E31=1,"STAGE COMPLETED",IF(E31=6,"STAGE COMPLETED","STAGE"))</f>
        <v>STAGE</v>
      </c>
      <c r="D31" s="1473" t="s">
        <v>633</v>
      </c>
      <c r="E31" s="1474"/>
      <c r="F31" s="1027">
        <f>IF(D31="INCEPTION",1,IF(D31="CONCEPT &amp; VIABILITY",2,IF(D31="DESIGN DEVELOPMENT",3,IF(D31="DOCUMENTATION &amp; PROCUREMENT",4,IF(D31="CONTRACT ADMINISTRATION &amp; INSPECTION",5,IF(D31="CLOSE OUT",6))))))</f>
        <v>1</v>
      </c>
      <c r="G31" s="21"/>
      <c r="H31" s="563"/>
    </row>
    <row r="32" spans="1:8" ht="18" customHeight="1" x14ac:dyDescent="0.2">
      <c r="A32" s="1009"/>
      <c r="B32" s="1010"/>
      <c r="C32" s="1082" t="s">
        <v>424</v>
      </c>
      <c r="D32" s="1014">
        <v>1</v>
      </c>
      <c r="E32" s="1011"/>
      <c r="F32" s="1012"/>
      <c r="G32" s="21"/>
      <c r="H32" s="563"/>
    </row>
    <row r="33" spans="1:8" ht="18" customHeight="1" thickBot="1" x14ac:dyDescent="0.25">
      <c r="A33" s="629"/>
      <c r="B33" s="606"/>
      <c r="C33" s="607" t="s">
        <v>181</v>
      </c>
      <c r="D33" s="442" t="s">
        <v>322</v>
      </c>
      <c r="E33" s="24"/>
      <c r="F33" s="24"/>
      <c r="G33" s="21"/>
      <c r="H33" s="1080"/>
    </row>
    <row r="34" spans="1:8" ht="18" customHeight="1" x14ac:dyDescent="0.2">
      <c r="A34" s="630"/>
      <c r="B34" s="620"/>
      <c r="C34" s="620"/>
      <c r="D34" s="621" t="s">
        <v>28</v>
      </c>
      <c r="E34" s="292" t="s">
        <v>322</v>
      </c>
      <c r="F34" s="21"/>
      <c r="G34" s="20"/>
      <c r="H34" s="565"/>
    </row>
    <row r="35" spans="1:8" ht="18" customHeight="1" x14ac:dyDescent="0.2">
      <c r="A35" s="624"/>
      <c r="B35" s="592"/>
      <c r="C35" s="592"/>
      <c r="D35" s="593" t="s">
        <v>380</v>
      </c>
      <c r="E35" s="457" t="s">
        <v>322</v>
      </c>
      <c r="F35" s="21"/>
      <c r="G35" s="20"/>
      <c r="H35" s="565"/>
    </row>
    <row r="36" spans="1:8" ht="18" customHeight="1" thickBot="1" x14ac:dyDescent="0.25">
      <c r="A36" s="625"/>
      <c r="B36" s="600"/>
      <c r="C36" s="600"/>
      <c r="D36" s="597" t="s">
        <v>164</v>
      </c>
      <c r="E36" s="293" t="s">
        <v>322</v>
      </c>
      <c r="F36" s="21"/>
      <c r="G36" s="25"/>
      <c r="H36" s="1081">
        <f>IF(E20=1,Scales!C3)</f>
        <v>470000</v>
      </c>
    </row>
    <row r="37" spans="1:8" ht="67.5" customHeight="1" thickTop="1" thickBot="1" x14ac:dyDescent="0.25">
      <c r="A37" s="1482" t="s">
        <v>400</v>
      </c>
      <c r="B37" s="1483"/>
      <c r="C37" s="1483"/>
      <c r="D37" s="1484"/>
      <c r="E37" s="676" t="s">
        <v>309</v>
      </c>
      <c r="F37" s="1488" t="s">
        <v>310</v>
      </c>
      <c r="G37" s="1490" t="s">
        <v>311</v>
      </c>
      <c r="H37" s="1492" t="s">
        <v>150</v>
      </c>
    </row>
    <row r="38" spans="1:8" ht="22.5" customHeight="1" thickBot="1" x14ac:dyDescent="0.25">
      <c r="A38" s="556" t="s">
        <v>197</v>
      </c>
      <c r="B38" s="549"/>
      <c r="C38" s="549"/>
      <c r="D38" s="163" t="s">
        <v>378</v>
      </c>
      <c r="E38" s="677">
        <f>IF($F$31&lt;4,1,IF($D$38="TENDER VALUES",2,1))</f>
        <v>1</v>
      </c>
      <c r="F38" s="1489"/>
      <c r="G38" s="1491"/>
      <c r="H38" s="1493"/>
    </row>
    <row r="39" spans="1:8" ht="30" customHeight="1" thickTop="1" x14ac:dyDescent="0.2">
      <c r="A39" s="1475" t="s">
        <v>183</v>
      </c>
      <c r="B39" s="1476"/>
      <c r="C39" s="1476"/>
      <c r="D39" s="1477"/>
      <c r="E39" s="1086"/>
      <c r="F39" s="1086"/>
      <c r="G39" s="1086"/>
      <c r="H39" s="990">
        <f t="shared" ref="H39:H47" si="0">IF($E$9="e",IF($F$31&lt;5,E39,IF($F$31=5,F39,IF($F$31=6,G39))))</f>
        <v>0</v>
      </c>
    </row>
    <row r="40" spans="1:8" ht="30" customHeight="1" x14ac:dyDescent="0.2">
      <c r="A40" s="1468" t="s">
        <v>184</v>
      </c>
      <c r="B40" s="1471"/>
      <c r="C40" s="1471"/>
      <c r="D40" s="1472"/>
      <c r="E40" s="1086"/>
      <c r="F40" s="1086"/>
      <c r="G40" s="1086"/>
      <c r="H40" s="990">
        <f t="shared" si="0"/>
        <v>0</v>
      </c>
    </row>
    <row r="41" spans="1:8" ht="32.25" customHeight="1" x14ac:dyDescent="0.2">
      <c r="A41" s="1468" t="s">
        <v>185</v>
      </c>
      <c r="B41" s="1469"/>
      <c r="C41" s="1469"/>
      <c r="D41" s="1470"/>
      <c r="E41" s="1086"/>
      <c r="F41" s="1086"/>
      <c r="G41" s="1086"/>
      <c r="H41" s="990">
        <f t="shared" si="0"/>
        <v>0</v>
      </c>
    </row>
    <row r="42" spans="1:8" ht="41.25" customHeight="1" x14ac:dyDescent="0.2">
      <c r="A42" s="1468" t="s">
        <v>186</v>
      </c>
      <c r="B42" s="1471"/>
      <c r="C42" s="1471"/>
      <c r="D42" s="1472"/>
      <c r="E42" s="1086"/>
      <c r="F42" s="1086"/>
      <c r="G42" s="1086"/>
      <c r="H42" s="990">
        <f t="shared" si="0"/>
        <v>0</v>
      </c>
    </row>
    <row r="43" spans="1:8" ht="42.75" customHeight="1" x14ac:dyDescent="0.2">
      <c r="A43" s="1468" t="s">
        <v>187</v>
      </c>
      <c r="B43" s="1469"/>
      <c r="C43" s="1469"/>
      <c r="D43" s="1470"/>
      <c r="E43" s="1086"/>
      <c r="F43" s="1086"/>
      <c r="G43" s="1086"/>
      <c r="H43" s="990">
        <f t="shared" si="0"/>
        <v>0</v>
      </c>
    </row>
    <row r="44" spans="1:8" ht="47.25" customHeight="1" x14ac:dyDescent="0.2">
      <c r="A44" s="1468" t="s">
        <v>188</v>
      </c>
      <c r="B44" s="1469"/>
      <c r="C44" s="1469"/>
      <c r="D44" s="1470"/>
      <c r="E44" s="1086"/>
      <c r="F44" s="1086"/>
      <c r="G44" s="1086"/>
      <c r="H44" s="990">
        <f t="shared" si="0"/>
        <v>0</v>
      </c>
    </row>
    <row r="45" spans="1:8" ht="30" customHeight="1" x14ac:dyDescent="0.2">
      <c r="A45" s="1468" t="s">
        <v>189</v>
      </c>
      <c r="B45" s="1469"/>
      <c r="C45" s="1469"/>
      <c r="D45" s="1470"/>
      <c r="E45" s="1086"/>
      <c r="F45" s="1086"/>
      <c r="G45" s="1086"/>
      <c r="H45" s="990">
        <f t="shared" si="0"/>
        <v>0</v>
      </c>
    </row>
    <row r="46" spans="1:8" ht="41.25" customHeight="1" thickBot="1" x14ac:dyDescent="0.25">
      <c r="A46" s="1475" t="s">
        <v>190</v>
      </c>
      <c r="B46" s="1576"/>
      <c r="C46" s="1576"/>
      <c r="D46" s="1577"/>
      <c r="E46" s="1086"/>
      <c r="F46" s="1086"/>
      <c r="G46" s="1086"/>
      <c r="H46" s="990">
        <f t="shared" si="0"/>
        <v>0</v>
      </c>
    </row>
    <row r="47" spans="1:8" ht="42.75" customHeight="1" thickBot="1" x14ac:dyDescent="0.25">
      <c r="A47" s="1566" t="s">
        <v>199</v>
      </c>
      <c r="B47" s="1567"/>
      <c r="C47" s="1567"/>
      <c r="D47" s="1568"/>
      <c r="E47" s="1092">
        <f>'WTW Input'!E23</f>
        <v>0</v>
      </c>
      <c r="F47" s="1092">
        <f>'WTW Input'!F23</f>
        <v>0</v>
      </c>
      <c r="G47" s="1092">
        <f>'WTW Input'!G23</f>
        <v>0</v>
      </c>
      <c r="H47" s="992">
        <f t="shared" si="0"/>
        <v>0</v>
      </c>
    </row>
    <row r="48" spans="1:8" ht="30" customHeight="1" thickBot="1" x14ac:dyDescent="0.25">
      <c r="A48" s="1547" t="s">
        <v>306</v>
      </c>
      <c r="B48" s="1572"/>
      <c r="C48" s="1572"/>
      <c r="D48" s="1573"/>
      <c r="E48" s="1093">
        <f>SUM(E39:E47)</f>
        <v>0</v>
      </c>
      <c r="F48" s="1093">
        <f>SUM(F39:F47)</f>
        <v>0</v>
      </c>
      <c r="G48" s="1093">
        <f>SUM(G39:G47)</f>
        <v>0</v>
      </c>
      <c r="H48" s="1093">
        <f>IF(H58&gt;SUM(H39:H47),"ERROR",SUM(H39:H47))</f>
        <v>0</v>
      </c>
    </row>
    <row r="49" spans="1:8" ht="30" customHeight="1" thickBot="1" x14ac:dyDescent="0.25">
      <c r="A49" s="1574" t="str">
        <f>IF(F31=6,IF(H48=H58,"","THE VALUE OF ( C) MUST BE THE SAME AS (D)"),"")</f>
        <v/>
      </c>
      <c r="B49" s="1575"/>
      <c r="C49" s="1575"/>
      <c r="D49" s="1575"/>
      <c r="E49" s="1575"/>
      <c r="F49" s="294" t="str">
        <f>IF($F$31=6,IF($H$58=$H$48,"","ERROR"),"")</f>
        <v/>
      </c>
      <c r="G49" s="297" t="str">
        <f>IF($F$31=6,IF($H$60=$H$52,"","ERROR"),"")</f>
        <v/>
      </c>
      <c r="H49" s="566"/>
    </row>
    <row r="50" spans="1:8" ht="30" customHeight="1" thickBot="1" x14ac:dyDescent="0.25">
      <c r="A50" s="1569"/>
      <c r="B50" s="1570"/>
      <c r="C50" s="1570"/>
      <c r="D50" s="1570"/>
      <c r="E50" s="1571"/>
      <c r="F50" s="295"/>
      <c r="G50" s="295"/>
      <c r="H50" s="296"/>
    </row>
    <row r="51" spans="1:8" ht="41.25" customHeight="1" thickBot="1" x14ac:dyDescent="0.25">
      <c r="A51" s="1560" t="s">
        <v>294</v>
      </c>
      <c r="B51" s="1561"/>
      <c r="C51" s="1561"/>
      <c r="D51" s="1562"/>
      <c r="E51" s="1086"/>
      <c r="F51" s="1086"/>
      <c r="G51" s="1086"/>
      <c r="H51" s="994">
        <f>IF($E$9="e",IF($F$31&lt;5,E51,IF($F$31=5,F51,IF($F$31=6,G51))))</f>
        <v>0</v>
      </c>
    </row>
    <row r="52" spans="1:8" ht="45" customHeight="1" thickBot="1" x14ac:dyDescent="0.25">
      <c r="A52" s="1563" t="s">
        <v>200</v>
      </c>
      <c r="B52" s="1564"/>
      <c r="C52" s="1564"/>
      <c r="D52" s="1565"/>
      <c r="E52" s="1094"/>
      <c r="F52" s="1094"/>
      <c r="G52" s="1094"/>
      <c r="H52" s="995">
        <f>IF($E$9="e",IF($F$31&lt;5,E52,IF($F$31=5,F52,IF($F$31=6,G52))))</f>
        <v>0</v>
      </c>
    </row>
    <row r="53" spans="1:8" ht="30.75" customHeight="1" thickTop="1" thickBot="1" x14ac:dyDescent="0.25">
      <c r="A53" s="1536" t="s">
        <v>403</v>
      </c>
      <c r="B53" s="1537"/>
      <c r="C53" s="1537"/>
      <c r="D53" s="1537"/>
      <c r="E53" s="1084"/>
      <c r="F53" s="1084"/>
      <c r="G53" s="1084"/>
      <c r="H53" s="1085"/>
    </row>
    <row r="54" spans="1:8" ht="51.75" customHeight="1" thickTop="1" thickBot="1" x14ac:dyDescent="0.25">
      <c r="A54" s="1558" t="s">
        <v>399</v>
      </c>
      <c r="B54" s="1559"/>
      <c r="C54" s="1559"/>
      <c r="D54" s="1559"/>
      <c r="E54" s="1559"/>
      <c r="F54" s="1559"/>
      <c r="G54" s="622" t="s">
        <v>312</v>
      </c>
      <c r="H54" s="654" t="s">
        <v>150</v>
      </c>
    </row>
    <row r="55" spans="1:8" ht="30" customHeight="1" thickTop="1" x14ac:dyDescent="0.2">
      <c r="A55" s="1540" t="s">
        <v>191</v>
      </c>
      <c r="B55" s="1541"/>
      <c r="C55" s="1541"/>
      <c r="D55" s="1541"/>
      <c r="E55" s="1542"/>
      <c r="F55" s="1543"/>
      <c r="G55" s="1086"/>
      <c r="H55" s="1000">
        <f>IF($F$31&gt;4,G55,0)</f>
        <v>0</v>
      </c>
    </row>
    <row r="56" spans="1:8" ht="30" customHeight="1" x14ac:dyDescent="0.2">
      <c r="A56" s="1544" t="s">
        <v>192</v>
      </c>
      <c r="B56" s="1545"/>
      <c r="C56" s="1545"/>
      <c r="D56" s="1545"/>
      <c r="E56" s="1545"/>
      <c r="F56" s="1546"/>
      <c r="G56" s="1086"/>
      <c r="H56" s="1001">
        <f>IF($F$31&gt;4,G56,0)</f>
        <v>0</v>
      </c>
    </row>
    <row r="57" spans="1:8" ht="30" customHeight="1" thickBot="1" x14ac:dyDescent="0.25">
      <c r="A57" s="1554" t="s">
        <v>206</v>
      </c>
      <c r="B57" s="1555"/>
      <c r="C57" s="1555"/>
      <c r="D57" s="1555"/>
      <c r="E57" s="1556"/>
      <c r="F57" s="1557"/>
      <c r="G57" s="1087">
        <f>'WTW Input'!H29</f>
        <v>0</v>
      </c>
      <c r="H57" s="1002">
        <f>IF($F$31&gt;4,G57,0)</f>
        <v>0</v>
      </c>
    </row>
    <row r="58" spans="1:8" ht="30" customHeight="1" thickBot="1" x14ac:dyDescent="0.25">
      <c r="A58" s="1547" t="s">
        <v>296</v>
      </c>
      <c r="B58" s="1548"/>
      <c r="C58" s="1548"/>
      <c r="D58" s="1548"/>
      <c r="E58" s="1549"/>
      <c r="F58" s="1549"/>
      <c r="G58" s="1088">
        <f>G55+G56+G57</f>
        <v>0</v>
      </c>
      <c r="H58" s="1089">
        <f>H55+H56+H57</f>
        <v>0</v>
      </c>
    </row>
    <row r="59" spans="1:8" ht="36.75" customHeight="1" thickBot="1" x14ac:dyDescent="0.25">
      <c r="A59" s="1552" t="s">
        <v>295</v>
      </c>
      <c r="B59" s="1553"/>
      <c r="C59" s="1553"/>
      <c r="D59" s="1553"/>
      <c r="E59" s="1553"/>
      <c r="F59" s="1553"/>
      <c r="G59" s="1086"/>
      <c r="H59" s="1003">
        <f>IF($F$31&gt;4,G59,0)</f>
        <v>0</v>
      </c>
    </row>
    <row r="60" spans="1:8" ht="39.75" customHeight="1" thickBot="1" x14ac:dyDescent="0.25">
      <c r="A60" s="1550" t="s">
        <v>381</v>
      </c>
      <c r="B60" s="1551"/>
      <c r="C60" s="1551"/>
      <c r="D60" s="1551"/>
      <c r="E60" s="1551"/>
      <c r="F60" s="1551"/>
      <c r="G60" s="1090"/>
      <c r="H60" s="1091">
        <f>IF($F$31&gt;4,G60,0)</f>
        <v>0</v>
      </c>
    </row>
    <row r="61" spans="1:8" ht="15.75" thickTop="1" x14ac:dyDescent="0.2">
      <c r="A61" s="8"/>
      <c r="B61" s="8"/>
      <c r="C61" s="8"/>
      <c r="D61" s="8"/>
      <c r="E61" s="8"/>
      <c r="F61" s="8"/>
      <c r="G61" s="8"/>
    </row>
    <row r="66" ht="18.75" customHeight="1" x14ac:dyDescent="0.2"/>
    <row r="73" ht="25.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115" spans="1:8" x14ac:dyDescent="0.2">
      <c r="A115" s="1"/>
      <c r="B115" s="1"/>
      <c r="C115" s="1"/>
      <c r="D115" s="1"/>
      <c r="E115" s="1"/>
      <c r="F115" s="1"/>
      <c r="G115" s="1"/>
      <c r="H115" s="1"/>
    </row>
    <row r="116" spans="1:8" x14ac:dyDescent="0.2">
      <c r="A116" s="1538"/>
      <c r="B116" s="1539"/>
      <c r="C116" s="1539"/>
      <c r="D116" s="1539"/>
      <c r="E116" s="1539"/>
      <c r="F116" s="1539"/>
      <c r="G116" s="1539"/>
      <c r="H116" s="1539"/>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53">
    <mergeCell ref="A51:D51"/>
    <mergeCell ref="A52:D52"/>
    <mergeCell ref="A45:D45"/>
    <mergeCell ref="A47:D47"/>
    <mergeCell ref="A50:E50"/>
    <mergeCell ref="A48:D48"/>
    <mergeCell ref="A49:E49"/>
    <mergeCell ref="A46:D46"/>
    <mergeCell ref="A53:D53"/>
    <mergeCell ref="A116:H116"/>
    <mergeCell ref="A55:F55"/>
    <mergeCell ref="A56:F56"/>
    <mergeCell ref="A58:F58"/>
    <mergeCell ref="A60:F60"/>
    <mergeCell ref="A59:F59"/>
    <mergeCell ref="A57:F57"/>
    <mergeCell ref="A54:F54"/>
    <mergeCell ref="A1:H1"/>
    <mergeCell ref="E3:G3"/>
    <mergeCell ref="E2:G2"/>
    <mergeCell ref="G17:H19"/>
    <mergeCell ref="D13:F13"/>
    <mergeCell ref="G4:H4"/>
    <mergeCell ref="E11:H11"/>
    <mergeCell ref="D12:H12"/>
    <mergeCell ref="A21:E24"/>
    <mergeCell ref="D8:E8"/>
    <mergeCell ref="D14:F14"/>
    <mergeCell ref="G20:H20"/>
    <mergeCell ref="G21:H21"/>
    <mergeCell ref="G22:H22"/>
    <mergeCell ref="G23:H23"/>
    <mergeCell ref="G24:H24"/>
    <mergeCell ref="D16:E16"/>
    <mergeCell ref="G8:H8"/>
    <mergeCell ref="G29:H29"/>
    <mergeCell ref="G30:H30"/>
    <mergeCell ref="A37:D37"/>
    <mergeCell ref="A25:C25"/>
    <mergeCell ref="F37:F38"/>
    <mergeCell ref="G37:G38"/>
    <mergeCell ref="H37:H38"/>
    <mergeCell ref="G27:H27"/>
    <mergeCell ref="G28:H28"/>
    <mergeCell ref="G25:H25"/>
    <mergeCell ref="G26:H26"/>
    <mergeCell ref="A44:D44"/>
    <mergeCell ref="A42:D42"/>
    <mergeCell ref="A41:D41"/>
    <mergeCell ref="D31:E31"/>
    <mergeCell ref="A43:D43"/>
    <mergeCell ref="A39:D39"/>
    <mergeCell ref="A40:D40"/>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8">
      <formula1>"ESTIMATES ONLY, TENDER VALUES"</formula1>
    </dataValidation>
    <dataValidation type="list" allowBlank="1" showInputMessage="1" showErrorMessage="1" sqref="D33 E34:E36">
      <formula1>"Y,N"</formula1>
    </dataValidation>
    <dataValidation type="list" allowBlank="1" showInputMessage="1" showErrorMessage="1" sqref="D31:E31">
      <formula1>"INCEPTION, CONCEPT &amp; VIABILITY,DESIGN DEVELOPMENT,DOCUMENTATION &amp; PROCUREMENT,CONTRACT ADMINISTRATION &amp; INSPECTION, CLOSE OUT"</formula1>
    </dataValidation>
    <dataValidation type="list" allowBlank="1" showInputMessage="1" showErrorMessage="1" sqref="D9">
      <formula1>"BUILDING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2"/>
  <headerFooter alignWithMargins="0">
    <oddFooter>&amp;L&amp;"Arial,Regular"&amp;8&amp;F: &amp;A&amp;C&amp;"Arial,Regular"&amp;11&amp;P&amp;R&amp;"Arial,Regular"&amp;8&amp;D</oddFooter>
  </headerFooter>
  <rowBreaks count="1" manualBreakCount="1">
    <brk id="52" max="7"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H116"/>
  <sheetViews>
    <sheetView zoomScale="70" zoomScaleNormal="70" zoomScaleSheetLayoutView="70" workbookViewId="0">
      <selection activeCell="E7" sqref="E7"/>
    </sheetView>
  </sheetViews>
  <sheetFormatPr defaultRowHeight="15" x14ac:dyDescent="0.2"/>
  <cols>
    <col min="1" max="1" width="18.33203125" customWidth="1"/>
    <col min="2" max="2" width="3.88671875" customWidth="1"/>
    <col min="3" max="3" width="10.44140625" customWidth="1"/>
    <col min="4" max="4" width="27.77734375" customWidth="1"/>
    <col min="5" max="5" width="19.109375" customWidth="1"/>
    <col min="6" max="6" width="21" customWidth="1"/>
    <col min="7" max="7" width="18.6640625" customWidth="1"/>
    <col min="8" max="8" width="16.44140625" customWidth="1"/>
  </cols>
  <sheetData>
    <row r="1" spans="1:8" ht="66" customHeight="1" thickTop="1" thickBot="1" x14ac:dyDescent="0.25">
      <c r="A1" s="1514" t="s">
        <v>462</v>
      </c>
      <c r="B1" s="1515"/>
      <c r="C1" s="1515"/>
      <c r="D1" s="1515"/>
      <c r="E1" s="1515"/>
      <c r="F1" s="1515"/>
      <c r="G1" s="1515"/>
      <c r="H1" s="1516"/>
    </row>
    <row r="2" spans="1:8" ht="46.5" customHeight="1" thickTop="1" x14ac:dyDescent="0.2">
      <c r="A2" s="569"/>
      <c r="B2" s="570"/>
      <c r="C2" s="570"/>
      <c r="D2" s="568"/>
      <c r="E2" s="1519" t="str">
        <f>IF(E9="b","USE BUILDING PROJECT INVOICE!!!",CONCATENATE(D8,"  ",""))</f>
        <v xml:space="preserve">CIVIL &amp; STRUCTURAL ENGINEERING  </v>
      </c>
      <c r="F2" s="1520"/>
      <c r="G2" s="1520"/>
      <c r="H2" s="140"/>
    </row>
    <row r="3" spans="1:8" ht="31.5" customHeight="1" thickBot="1" x14ac:dyDescent="0.25">
      <c r="A3" s="471"/>
      <c r="B3" s="141"/>
      <c r="C3" s="141"/>
      <c r="D3" s="141"/>
      <c r="E3" s="1517" t="str">
        <f>IF(E9="b","USE BUILDING PROJECT INVOICE!!!",CONCATENATE(D9,":  ",D20," NDPW FEES"))</f>
        <v>ENGINEERING PROJECT:  2010 NDPW FEES</v>
      </c>
      <c r="F3" s="1518"/>
      <c r="G3" s="1518"/>
      <c r="H3" s="678" t="str">
        <f>'Input Data'!H3</f>
        <v>Version: 1.5  2012-10</v>
      </c>
    </row>
    <row r="4" spans="1:8" ht="18" customHeight="1" thickTop="1" x14ac:dyDescent="0.2">
      <c r="A4" s="691"/>
      <c r="B4" s="590"/>
      <c r="C4" s="591" t="s">
        <v>303</v>
      </c>
      <c r="D4" s="692" t="s">
        <v>361</v>
      </c>
      <c r="E4" s="693"/>
      <c r="F4" s="694" t="s">
        <v>302</v>
      </c>
      <c r="G4" s="1586" t="s">
        <v>365</v>
      </c>
      <c r="H4" s="1587"/>
    </row>
    <row r="5" spans="1:8" ht="18" customHeight="1" x14ac:dyDescent="0.2">
      <c r="A5" s="695"/>
      <c r="B5" s="592"/>
      <c r="C5" s="593" t="s">
        <v>304</v>
      </c>
      <c r="D5" s="696">
        <v>79867</v>
      </c>
      <c r="E5" s="697"/>
      <c r="F5" s="550" t="s">
        <v>242</v>
      </c>
      <c r="G5" s="698" t="s">
        <v>367</v>
      </c>
      <c r="H5" s="699"/>
    </row>
    <row r="6" spans="1:8" ht="18" customHeight="1" x14ac:dyDescent="0.2">
      <c r="A6" s="695"/>
      <c r="B6" s="592"/>
      <c r="C6" s="593" t="s">
        <v>323</v>
      </c>
      <c r="D6" s="700">
        <v>2</v>
      </c>
      <c r="E6" s="697"/>
      <c r="F6" s="550" t="s">
        <v>266</v>
      </c>
      <c r="G6" s="698" t="s">
        <v>368</v>
      </c>
      <c r="H6" s="699"/>
    </row>
    <row r="7" spans="1:8" ht="18" customHeight="1" x14ac:dyDescent="0.2">
      <c r="A7" s="695"/>
      <c r="B7" s="592"/>
      <c r="C7" s="593" t="s">
        <v>241</v>
      </c>
      <c r="D7" s="701" t="s">
        <v>362</v>
      </c>
      <c r="E7" s="697"/>
      <c r="F7" s="24" t="s">
        <v>262</v>
      </c>
      <c r="G7" s="698" t="s">
        <v>394</v>
      </c>
      <c r="H7" s="702"/>
    </row>
    <row r="8" spans="1:8" ht="18" customHeight="1" x14ac:dyDescent="0.2">
      <c r="A8" s="695"/>
      <c r="B8" s="592"/>
      <c r="C8" s="593" t="s">
        <v>314</v>
      </c>
      <c r="D8" s="1601" t="s">
        <v>315</v>
      </c>
      <c r="E8" s="1602"/>
      <c r="F8" s="550" t="s">
        <v>240</v>
      </c>
      <c r="G8" s="1610" t="s">
        <v>366</v>
      </c>
      <c r="H8" s="1611"/>
    </row>
    <row r="9" spans="1:8" ht="18" customHeight="1" x14ac:dyDescent="0.2">
      <c r="A9" s="695"/>
      <c r="B9" s="592"/>
      <c r="C9" s="594" t="s">
        <v>124</v>
      </c>
      <c r="D9" s="703" t="s">
        <v>290</v>
      </c>
      <c r="E9" s="462" t="str">
        <f>IF(D9="BUILDING PROJECT","B","E")</f>
        <v>E</v>
      </c>
      <c r="F9" s="29"/>
      <c r="G9" s="29"/>
      <c r="H9" s="429"/>
    </row>
    <row r="10" spans="1:8" ht="18" customHeight="1" x14ac:dyDescent="0.2">
      <c r="A10" s="1028"/>
      <c r="B10" s="1068"/>
      <c r="C10" s="1069" t="s">
        <v>423</v>
      </c>
      <c r="D10" s="1077" t="s">
        <v>443</v>
      </c>
      <c r="E10" s="1071" t="str">
        <f>IF($D$10="Yes", "NO OF DAYS","")</f>
        <v>NO OF DAYS</v>
      </c>
      <c r="F10" s="1078">
        <v>15</v>
      </c>
      <c r="G10" s="1079" t="str">
        <f>IF($D$10="Yes", "RATE","")</f>
        <v>RATE</v>
      </c>
      <c r="H10" s="1076">
        <v>5000</v>
      </c>
    </row>
    <row r="11" spans="1:8" ht="18" customHeight="1" thickBot="1" x14ac:dyDescent="0.25">
      <c r="A11" s="704"/>
      <c r="B11" s="600"/>
      <c r="C11" s="597" t="s">
        <v>118</v>
      </c>
      <c r="D11" s="705" t="s">
        <v>392</v>
      </c>
      <c r="E11" s="1588"/>
      <c r="F11" s="1589"/>
      <c r="G11" s="1589"/>
      <c r="H11" s="1590"/>
    </row>
    <row r="12" spans="1:8" ht="18" customHeight="1" thickTop="1" x14ac:dyDescent="0.2">
      <c r="A12" s="706"/>
      <c r="B12" s="598"/>
      <c r="C12" s="599" t="s">
        <v>324</v>
      </c>
      <c r="D12" s="1586" t="s">
        <v>369</v>
      </c>
      <c r="E12" s="1591"/>
      <c r="F12" s="1591"/>
      <c r="G12" s="1591"/>
      <c r="H12" s="1592"/>
    </row>
    <row r="13" spans="1:8" ht="18" customHeight="1" x14ac:dyDescent="0.2">
      <c r="A13" s="695"/>
      <c r="B13" s="592"/>
      <c r="C13" s="593" t="s">
        <v>161</v>
      </c>
      <c r="D13" s="1584" t="s">
        <v>370</v>
      </c>
      <c r="E13" s="1585"/>
      <c r="F13" s="1585"/>
      <c r="G13" s="647" t="s">
        <v>376</v>
      </c>
      <c r="H13" s="707">
        <v>1034</v>
      </c>
    </row>
    <row r="14" spans="1:8" ht="18" customHeight="1" x14ac:dyDescent="0.2">
      <c r="A14" s="695"/>
      <c r="B14" s="592"/>
      <c r="C14" s="593" t="s">
        <v>363</v>
      </c>
      <c r="D14" s="1603" t="s">
        <v>371</v>
      </c>
      <c r="E14" s="1604"/>
      <c r="F14" s="1604"/>
      <c r="G14" s="647" t="s">
        <v>376</v>
      </c>
      <c r="H14" s="708">
        <v>1002</v>
      </c>
    </row>
    <row r="15" spans="1:8" ht="18" customHeight="1" x14ac:dyDescent="0.2">
      <c r="A15" s="695"/>
      <c r="B15" s="592"/>
      <c r="C15" s="593" t="s">
        <v>162</v>
      </c>
      <c r="D15" s="709" t="s">
        <v>372</v>
      </c>
      <c r="E15" s="710" t="s">
        <v>243</v>
      </c>
      <c r="F15" s="711" t="s">
        <v>393</v>
      </c>
      <c r="G15" s="710" t="s">
        <v>244</v>
      </c>
      <c r="H15" s="712" t="s">
        <v>373</v>
      </c>
    </row>
    <row r="16" spans="1:8" ht="18" customHeight="1" thickBot="1" x14ac:dyDescent="0.25">
      <c r="A16" s="695"/>
      <c r="B16" s="592"/>
      <c r="C16" s="593" t="s">
        <v>240</v>
      </c>
      <c r="D16" s="1608" t="s">
        <v>374</v>
      </c>
      <c r="E16" s="1609"/>
      <c r="F16" s="713"/>
      <c r="G16" s="550"/>
      <c r="H16" s="714"/>
    </row>
    <row r="17" spans="1:8" ht="18" customHeight="1" thickTop="1" x14ac:dyDescent="0.2">
      <c r="A17" s="695"/>
      <c r="B17" s="592"/>
      <c r="C17" s="593" t="s">
        <v>114</v>
      </c>
      <c r="D17" s="715" t="s">
        <v>379</v>
      </c>
      <c r="E17" s="379" t="str">
        <f>IF(D17="none", "none",D17)</f>
        <v>12345678</v>
      </c>
      <c r="F17" s="619" t="s">
        <v>246</v>
      </c>
      <c r="G17" s="1521" t="s">
        <v>301</v>
      </c>
      <c r="H17" s="1522"/>
    </row>
    <row r="18" spans="1:8" ht="18" customHeight="1" x14ac:dyDescent="0.2">
      <c r="A18" s="695"/>
      <c r="B18" s="592"/>
      <c r="C18" s="593" t="s">
        <v>245</v>
      </c>
      <c r="D18" s="716" t="s">
        <v>375</v>
      </c>
      <c r="E18" s="142" t="str">
        <f>IF(D18="","&lt;--ERROR","")</f>
        <v/>
      </c>
      <c r="F18" s="543"/>
      <c r="G18" s="1523"/>
      <c r="H18" s="1524"/>
    </row>
    <row r="19" spans="1:8" ht="18" customHeight="1" x14ac:dyDescent="0.2">
      <c r="A19" s="695"/>
      <c r="B19" s="595"/>
      <c r="C19" s="593" t="s">
        <v>29</v>
      </c>
      <c r="D19" s="717">
        <v>40332</v>
      </c>
      <c r="E19" s="142"/>
      <c r="F19" s="544"/>
      <c r="G19" s="1525"/>
      <c r="H19" s="1526"/>
    </row>
    <row r="20" spans="1:8" ht="18" customHeight="1" thickBot="1" x14ac:dyDescent="0.25">
      <c r="A20" s="704"/>
      <c r="B20" s="596"/>
      <c r="C20" s="597" t="s">
        <v>163</v>
      </c>
      <c r="D20" s="718">
        <v>2010</v>
      </c>
      <c r="E20" s="602">
        <f>IF(D20=2010,1)</f>
        <v>1</v>
      </c>
      <c r="F20" s="610" t="s">
        <v>247</v>
      </c>
      <c r="G20" s="1605" t="s">
        <v>383</v>
      </c>
      <c r="H20" s="1606"/>
    </row>
    <row r="21" spans="1:8" ht="18" customHeight="1" thickTop="1" x14ac:dyDescent="0.2">
      <c r="A21" s="1496" t="str">
        <f>IF(E20=1,"Fee in accordance with the National Department of Public Works Scope of Engineering Services and Tariff of Fees for Persons Registered in terms of the Engineering Profession Act, 2000 (Act No. 46 of 2000) dated 1 February 2010.",IF(E20=9," Government Gazette No 31749 of 2 January 2009",""))</f>
        <v>Fee in accordance with the National Department of Public Works Scope of Engineering Services and Tariff of Fees for Persons Registered in terms of the Engineering Profession Act, 2000 (Act No. 46 of 2000) dated 1 February 2010.</v>
      </c>
      <c r="B21" s="1593"/>
      <c r="C21" s="1593"/>
      <c r="D21" s="1593"/>
      <c r="E21" s="1594"/>
      <c r="F21" s="610" t="s">
        <v>248</v>
      </c>
      <c r="G21" s="1605" t="s">
        <v>384</v>
      </c>
      <c r="H21" s="1606"/>
    </row>
    <row r="22" spans="1:8" ht="18" customHeight="1" x14ac:dyDescent="0.2">
      <c r="A22" s="1595"/>
      <c r="B22" s="1596"/>
      <c r="C22" s="1596"/>
      <c r="D22" s="1596"/>
      <c r="E22" s="1597"/>
      <c r="F22" s="610" t="s">
        <v>249</v>
      </c>
      <c r="G22" s="1607" t="s">
        <v>385</v>
      </c>
      <c r="H22" s="1606"/>
    </row>
    <row r="23" spans="1:8" ht="18" customHeight="1" x14ac:dyDescent="0.2">
      <c r="A23" s="1595"/>
      <c r="B23" s="1596"/>
      <c r="C23" s="1596"/>
      <c r="D23" s="1596"/>
      <c r="E23" s="1597"/>
      <c r="F23" s="610" t="s">
        <v>114</v>
      </c>
      <c r="G23" s="1508" t="s">
        <v>444</v>
      </c>
      <c r="H23" s="1509"/>
    </row>
    <row r="24" spans="1:8" ht="27.75" customHeight="1" thickBot="1" x14ac:dyDescent="0.25">
      <c r="A24" s="1598"/>
      <c r="B24" s="1599"/>
      <c r="C24" s="1599"/>
      <c r="D24" s="1599"/>
      <c r="E24" s="1600"/>
      <c r="F24" s="611" t="s">
        <v>364</v>
      </c>
      <c r="G24" s="1605" t="s">
        <v>386</v>
      </c>
      <c r="H24" s="1606"/>
    </row>
    <row r="25" spans="1:8" ht="18" customHeight="1" thickTop="1" x14ac:dyDescent="0.2">
      <c r="A25" s="1485" t="s">
        <v>30</v>
      </c>
      <c r="B25" s="1612"/>
      <c r="C25" s="1613"/>
      <c r="D25" s="380" t="str">
        <f>IF(H48&lt;H36,"USE TIME BASED FEES","PERCENTAGE BASED FEES")</f>
        <v>PERCENTAGE BASED FEES</v>
      </c>
      <c r="E25" s="29"/>
      <c r="F25" s="612" t="s">
        <v>250</v>
      </c>
      <c r="G25" s="1605" t="s">
        <v>387</v>
      </c>
      <c r="H25" s="1606"/>
    </row>
    <row r="26" spans="1:8" ht="18" customHeight="1" x14ac:dyDescent="0.2">
      <c r="A26" s="719"/>
      <c r="B26" s="608"/>
      <c r="C26" s="609" t="s">
        <v>236</v>
      </c>
      <c r="D26" s="720">
        <v>100</v>
      </c>
      <c r="E26" s="478" t="s">
        <v>325</v>
      </c>
      <c r="F26" s="612" t="s">
        <v>251</v>
      </c>
      <c r="G26" s="1605" t="s">
        <v>384</v>
      </c>
      <c r="H26" s="1606"/>
    </row>
    <row r="27" spans="1:8" ht="18" customHeight="1" x14ac:dyDescent="0.2">
      <c r="A27" s="721"/>
      <c r="B27" s="603"/>
      <c r="C27" s="604" t="s">
        <v>141</v>
      </c>
      <c r="D27" s="722">
        <v>40420</v>
      </c>
      <c r="E27" s="381"/>
      <c r="F27" s="613" t="s">
        <v>376</v>
      </c>
      <c r="G27" s="1607" t="s">
        <v>388</v>
      </c>
      <c r="H27" s="1617"/>
    </row>
    <row r="28" spans="1:8" ht="18" customHeight="1" x14ac:dyDescent="0.2">
      <c r="A28" s="695"/>
      <c r="B28" s="592"/>
      <c r="C28" s="593" t="s">
        <v>19</v>
      </c>
      <c r="D28" s="700">
        <v>1</v>
      </c>
      <c r="E28" s="381"/>
      <c r="F28" s="614" t="s">
        <v>242</v>
      </c>
      <c r="G28" s="1605" t="s">
        <v>389</v>
      </c>
      <c r="H28" s="1606"/>
    </row>
    <row r="29" spans="1:8" ht="18" customHeight="1" x14ac:dyDescent="0.2">
      <c r="A29" s="695"/>
      <c r="B29" s="592"/>
      <c r="C29" s="593" t="s">
        <v>119</v>
      </c>
      <c r="D29" s="715" t="s">
        <v>395</v>
      </c>
      <c r="E29" s="381"/>
      <c r="F29" s="615" t="s">
        <v>252</v>
      </c>
      <c r="G29" s="1605" t="s">
        <v>390</v>
      </c>
      <c r="H29" s="1606"/>
    </row>
    <row r="30" spans="1:8" ht="18" customHeight="1" thickBot="1" x14ac:dyDescent="0.25">
      <c r="A30" s="695"/>
      <c r="B30" s="592"/>
      <c r="C30" s="593" t="s">
        <v>253</v>
      </c>
      <c r="D30" s="715" t="s">
        <v>401</v>
      </c>
      <c r="E30" s="555"/>
      <c r="F30" s="616" t="s">
        <v>254</v>
      </c>
      <c r="G30" s="1618" t="s">
        <v>391</v>
      </c>
      <c r="H30" s="1619"/>
    </row>
    <row r="31" spans="1:8" ht="18" customHeight="1" thickTop="1" x14ac:dyDescent="0.2">
      <c r="A31" s="695"/>
      <c r="B31" s="605"/>
      <c r="C31" s="1030" t="str">
        <f>IF(F31=1,"STAGE COMPLETED","STAGE")</f>
        <v>STAGE</v>
      </c>
      <c r="D31" s="1620" t="s">
        <v>329</v>
      </c>
      <c r="E31" s="1602"/>
      <c r="F31" s="617">
        <f>IF(D31="INCEPTION",1,IF(D31="CONCEPT &amp; VIABILITY",2,IF(D31="DESIGN DEVELOPMENT",3,IF(D31="DOCUMENTATION &amp; PROCUREMENT",4,IF(D31="CONTRACT ADMINISTRATION &amp; INSPECTION",5,IF(D31="CLOSE OUT",6))))))</f>
        <v>6</v>
      </c>
      <c r="G31" s="21"/>
      <c r="H31" s="563"/>
    </row>
    <row r="32" spans="1:8" ht="18" customHeight="1" x14ac:dyDescent="0.2">
      <c r="A32" s="1028"/>
      <c r="B32" s="1010"/>
      <c r="C32" s="1013" t="s">
        <v>424</v>
      </c>
      <c r="D32" s="1045" t="s">
        <v>441</v>
      </c>
      <c r="E32" s="1029"/>
      <c r="F32" s="1012"/>
      <c r="G32" s="21"/>
      <c r="H32" s="563"/>
    </row>
    <row r="33" spans="1:8" ht="18" customHeight="1" thickBot="1" x14ac:dyDescent="0.25">
      <c r="A33" s="723"/>
      <c r="B33" s="724"/>
      <c r="C33" s="607" t="s">
        <v>181</v>
      </c>
      <c r="D33" s="725" t="s">
        <v>322</v>
      </c>
      <c r="E33" s="24"/>
      <c r="F33" s="24"/>
      <c r="G33" s="21"/>
      <c r="H33" s="563"/>
    </row>
    <row r="34" spans="1:8" ht="18" customHeight="1" x14ac:dyDescent="0.2">
      <c r="A34" s="726"/>
      <c r="B34" s="620"/>
      <c r="C34" s="620"/>
      <c r="D34" s="621" t="s">
        <v>28</v>
      </c>
      <c r="E34" s="727" t="s">
        <v>316</v>
      </c>
      <c r="F34" s="21"/>
      <c r="G34" s="20"/>
      <c r="H34" s="565"/>
    </row>
    <row r="35" spans="1:8" ht="18" customHeight="1" x14ac:dyDescent="0.2">
      <c r="A35" s="695"/>
      <c r="B35" s="592"/>
      <c r="C35" s="592"/>
      <c r="D35" s="593" t="s">
        <v>380</v>
      </c>
      <c r="E35" s="728" t="s">
        <v>316</v>
      </c>
      <c r="F35" s="21"/>
      <c r="G35" s="20"/>
      <c r="H35" s="565"/>
    </row>
    <row r="36" spans="1:8" ht="18" customHeight="1" thickBot="1" x14ac:dyDescent="0.25">
      <c r="A36" s="704"/>
      <c r="B36" s="600"/>
      <c r="C36" s="600"/>
      <c r="D36" s="597" t="s">
        <v>164</v>
      </c>
      <c r="E36" s="729" t="s">
        <v>316</v>
      </c>
      <c r="F36" s="21"/>
      <c r="G36" s="25"/>
      <c r="H36" s="564">
        <f>IF(E20=1,Scales!C3)</f>
        <v>470000</v>
      </c>
    </row>
    <row r="37" spans="1:8" ht="67.5" customHeight="1" thickTop="1" thickBot="1" x14ac:dyDescent="0.25">
      <c r="A37" s="1482" t="s">
        <v>400</v>
      </c>
      <c r="B37" s="1483"/>
      <c r="C37" s="1483"/>
      <c r="D37" s="1484"/>
      <c r="E37" s="676" t="s">
        <v>309</v>
      </c>
      <c r="F37" s="1488" t="s">
        <v>310</v>
      </c>
      <c r="G37" s="1490" t="s">
        <v>311</v>
      </c>
      <c r="H37" s="1492" t="s">
        <v>150</v>
      </c>
    </row>
    <row r="38" spans="1:8" ht="22.5" customHeight="1" thickBot="1" x14ac:dyDescent="0.25">
      <c r="A38" s="556" t="s">
        <v>197</v>
      </c>
      <c r="B38" s="549"/>
      <c r="C38" s="549"/>
      <c r="D38" s="730" t="s">
        <v>378</v>
      </c>
      <c r="E38" s="677">
        <f>IF($F$31&lt;4,1,IF($D$38="TENDER VALUES",2,1))</f>
        <v>1</v>
      </c>
      <c r="F38" s="1614"/>
      <c r="G38" s="1615"/>
      <c r="H38" s="1616"/>
    </row>
    <row r="39" spans="1:8" ht="30" customHeight="1" thickTop="1" x14ac:dyDescent="0.2">
      <c r="A39" s="1475" t="s">
        <v>183</v>
      </c>
      <c r="B39" s="1476"/>
      <c r="C39" s="1476"/>
      <c r="D39" s="1477"/>
      <c r="E39" s="1057">
        <v>2100000</v>
      </c>
      <c r="F39" s="1057">
        <v>2100000</v>
      </c>
      <c r="G39" s="1057">
        <v>2100000</v>
      </c>
      <c r="H39" s="990">
        <f t="shared" ref="H39:H47" si="0">IF($E$9="e",IF($F$31&lt;5,E39,IF($F$31=5,F39,IF($F$31=6,G39))))</f>
        <v>2100000</v>
      </c>
    </row>
    <row r="40" spans="1:8" ht="30" customHeight="1" x14ac:dyDescent="0.2">
      <c r="A40" s="1468" t="s">
        <v>184</v>
      </c>
      <c r="B40" s="1471"/>
      <c r="C40" s="1471"/>
      <c r="D40" s="1472"/>
      <c r="E40" s="1058">
        <v>1000000</v>
      </c>
      <c r="F40" s="1058">
        <v>1000000</v>
      </c>
      <c r="G40" s="1058">
        <v>1000000</v>
      </c>
      <c r="H40" s="990">
        <f t="shared" si="0"/>
        <v>1000000</v>
      </c>
    </row>
    <row r="41" spans="1:8" ht="32.25" customHeight="1" x14ac:dyDescent="0.2">
      <c r="A41" s="1468" t="s">
        <v>185</v>
      </c>
      <c r="B41" s="1469"/>
      <c r="C41" s="1469"/>
      <c r="D41" s="1470"/>
      <c r="E41" s="1058">
        <v>900000</v>
      </c>
      <c r="F41" s="1058">
        <v>900000</v>
      </c>
      <c r="G41" s="1058">
        <v>900000</v>
      </c>
      <c r="H41" s="990">
        <f t="shared" si="0"/>
        <v>900000</v>
      </c>
    </row>
    <row r="42" spans="1:8" ht="41.25" customHeight="1" x14ac:dyDescent="0.2">
      <c r="A42" s="1468" t="s">
        <v>186</v>
      </c>
      <c r="B42" s="1471"/>
      <c r="C42" s="1471"/>
      <c r="D42" s="1472"/>
      <c r="E42" s="1058">
        <v>800000</v>
      </c>
      <c r="F42" s="1058">
        <v>800000</v>
      </c>
      <c r="G42" s="1058">
        <v>800000</v>
      </c>
      <c r="H42" s="990">
        <f t="shared" si="0"/>
        <v>800000</v>
      </c>
    </row>
    <row r="43" spans="1:8" ht="42.75" customHeight="1" x14ac:dyDescent="0.2">
      <c r="A43" s="1468" t="s">
        <v>187</v>
      </c>
      <c r="B43" s="1469"/>
      <c r="C43" s="1469"/>
      <c r="D43" s="1470"/>
      <c r="E43" s="1058">
        <v>700000</v>
      </c>
      <c r="F43" s="1058">
        <v>700000</v>
      </c>
      <c r="G43" s="1058">
        <v>700000</v>
      </c>
      <c r="H43" s="990">
        <f t="shared" si="0"/>
        <v>700000</v>
      </c>
    </row>
    <row r="44" spans="1:8" ht="47.25" customHeight="1" x14ac:dyDescent="0.2">
      <c r="A44" s="1468" t="s">
        <v>188</v>
      </c>
      <c r="B44" s="1469"/>
      <c r="C44" s="1469"/>
      <c r="D44" s="1470"/>
      <c r="E44" s="1058">
        <v>600000</v>
      </c>
      <c r="F44" s="1058">
        <v>600000</v>
      </c>
      <c r="G44" s="1058">
        <v>600000</v>
      </c>
      <c r="H44" s="990">
        <f t="shared" si="0"/>
        <v>600000</v>
      </c>
    </row>
    <row r="45" spans="1:8" ht="30" customHeight="1" x14ac:dyDescent="0.2">
      <c r="A45" s="1468" t="s">
        <v>189</v>
      </c>
      <c r="B45" s="1469"/>
      <c r="C45" s="1469"/>
      <c r="D45" s="1470"/>
      <c r="E45" s="1058">
        <v>500000</v>
      </c>
      <c r="F45" s="1058">
        <v>500000</v>
      </c>
      <c r="G45" s="1058">
        <v>500000</v>
      </c>
      <c r="H45" s="990">
        <f t="shared" si="0"/>
        <v>500000</v>
      </c>
    </row>
    <row r="46" spans="1:8" ht="41.25" customHeight="1" thickBot="1" x14ac:dyDescent="0.25">
      <c r="A46" s="1475" t="s">
        <v>190</v>
      </c>
      <c r="B46" s="1576"/>
      <c r="C46" s="1576"/>
      <c r="D46" s="1577"/>
      <c r="E46" s="1058">
        <v>400000</v>
      </c>
      <c r="F46" s="1058">
        <v>400000</v>
      </c>
      <c r="G46" s="1058">
        <v>400000</v>
      </c>
      <c r="H46" s="990">
        <f t="shared" si="0"/>
        <v>400000</v>
      </c>
    </row>
    <row r="47" spans="1:8" ht="42.75" customHeight="1" thickBot="1" x14ac:dyDescent="0.25">
      <c r="A47" s="1566" t="s">
        <v>199</v>
      </c>
      <c r="B47" s="1567"/>
      <c r="C47" s="1567"/>
      <c r="D47" s="1568"/>
      <c r="E47" s="991">
        <f>'WTW Input'!E23</f>
        <v>0</v>
      </c>
      <c r="F47" s="991">
        <f>'WTW Input'!F23</f>
        <v>0</v>
      </c>
      <c r="G47" s="991">
        <f>'WTW Input'!G23</f>
        <v>0</v>
      </c>
      <c r="H47" s="992">
        <f t="shared" si="0"/>
        <v>0</v>
      </c>
    </row>
    <row r="48" spans="1:8" ht="30" customHeight="1" thickBot="1" x14ac:dyDescent="0.25">
      <c r="A48" s="1547" t="s">
        <v>306</v>
      </c>
      <c r="B48" s="1572"/>
      <c r="C48" s="1572"/>
      <c r="D48" s="1573"/>
      <c r="E48" s="993">
        <f>SUM(E39:E47)</f>
        <v>7000000</v>
      </c>
      <c r="F48" s="993">
        <f>SUM(F39:F47)</f>
        <v>7000000</v>
      </c>
      <c r="G48" s="993">
        <f>SUM(G39:G47)</f>
        <v>7000000</v>
      </c>
      <c r="H48" s="993">
        <f>IF(H58&gt;SUM(H39:H47),"ERROR",SUM(H39:H47))</f>
        <v>7000000</v>
      </c>
    </row>
    <row r="49" spans="1:8" ht="30" customHeight="1" thickBot="1" x14ac:dyDescent="0.25">
      <c r="A49" s="1574" t="str">
        <f>IF(F31=6,IF(H48=H58,"","THE VALUE OF ( C) MUST BE THE SAME AS (D)"),"")</f>
        <v/>
      </c>
      <c r="B49" s="1575"/>
      <c r="C49" s="1575"/>
      <c r="D49" s="1575"/>
      <c r="E49" s="1575"/>
      <c r="F49" s="294" t="str">
        <f>IF($F$31=6,IF($H$58=$H$48,"","ERROR"),"")</f>
        <v/>
      </c>
      <c r="G49" s="297" t="str">
        <f>IF($F$31=6,IF($H$60=$H$52,"","ERROR"),"")</f>
        <v/>
      </c>
      <c r="H49" s="566"/>
    </row>
    <row r="50" spans="1:8" ht="30" customHeight="1" thickBot="1" x14ac:dyDescent="0.25">
      <c r="A50" s="1569"/>
      <c r="B50" s="1570"/>
      <c r="C50" s="1570"/>
      <c r="D50" s="1570"/>
      <c r="E50" s="1571"/>
      <c r="F50" s="295"/>
      <c r="G50" s="295"/>
      <c r="H50" s="296"/>
    </row>
    <row r="51" spans="1:8" ht="41.25" customHeight="1" thickBot="1" x14ac:dyDescent="0.25">
      <c r="A51" s="1560" t="s">
        <v>294</v>
      </c>
      <c r="B51" s="1561"/>
      <c r="C51" s="1561"/>
      <c r="D51" s="1562"/>
      <c r="E51" s="1059">
        <v>2000000</v>
      </c>
      <c r="F51" s="1059">
        <v>2000000</v>
      </c>
      <c r="G51" s="1059">
        <v>2000000</v>
      </c>
      <c r="H51" s="994">
        <f>IF($E$9="e",IF($F$31&lt;5,E51,IF($F$31=5,F51,IF($F$31=6,G51))))</f>
        <v>2000000</v>
      </c>
    </row>
    <row r="52" spans="1:8" ht="45" customHeight="1" thickBot="1" x14ac:dyDescent="0.25">
      <c r="A52" s="1563" t="s">
        <v>200</v>
      </c>
      <c r="B52" s="1564"/>
      <c r="C52" s="1564"/>
      <c r="D52" s="1565"/>
      <c r="E52" s="1060">
        <v>15000000</v>
      </c>
      <c r="F52" s="1060">
        <v>15000000</v>
      </c>
      <c r="G52" s="1060">
        <v>15000000</v>
      </c>
      <c r="H52" s="995">
        <f>IF($E$9="e",IF($F$31&lt;5,E52,IF($F$31=5,F52,IF($F$31=6,G52))))</f>
        <v>15000000</v>
      </c>
    </row>
    <row r="53" spans="1:8" ht="30.75" customHeight="1" thickTop="1" thickBot="1" x14ac:dyDescent="0.25">
      <c r="A53" s="1578" t="s">
        <v>403</v>
      </c>
      <c r="B53" s="1579"/>
      <c r="C53" s="1579"/>
      <c r="D53" s="1579"/>
      <c r="E53" s="731"/>
      <c r="F53" s="731"/>
      <c r="G53" s="731"/>
      <c r="H53" s="652"/>
    </row>
    <row r="54" spans="1:8" ht="51.75" customHeight="1" thickTop="1" thickBot="1" x14ac:dyDescent="0.25">
      <c r="A54" s="1558" t="s">
        <v>399</v>
      </c>
      <c r="B54" s="1559"/>
      <c r="C54" s="1559"/>
      <c r="D54" s="1559"/>
      <c r="E54" s="1559"/>
      <c r="F54" s="1559"/>
      <c r="G54" s="622" t="s">
        <v>312</v>
      </c>
      <c r="H54" s="654" t="s">
        <v>150</v>
      </c>
    </row>
    <row r="55" spans="1:8" ht="30" customHeight="1" thickTop="1" x14ac:dyDescent="0.2">
      <c r="A55" s="1580" t="s">
        <v>191</v>
      </c>
      <c r="B55" s="1581"/>
      <c r="C55" s="1581"/>
      <c r="D55" s="1581"/>
      <c r="E55" s="1582"/>
      <c r="F55" s="1583"/>
      <c r="G55" s="1061">
        <v>6100000</v>
      </c>
      <c r="H55" s="996">
        <f>IF($F$31&gt;4,G55,0)</f>
        <v>6100000</v>
      </c>
    </row>
    <row r="56" spans="1:8" ht="30" customHeight="1" x14ac:dyDescent="0.2">
      <c r="A56" s="1544" t="s">
        <v>192</v>
      </c>
      <c r="B56" s="1545"/>
      <c r="C56" s="1545"/>
      <c r="D56" s="1545"/>
      <c r="E56" s="1545"/>
      <c r="F56" s="1545"/>
      <c r="G56" s="1062">
        <v>900000</v>
      </c>
      <c r="H56" s="997">
        <f>IF($F$31&gt;4,G56,0)</f>
        <v>900000</v>
      </c>
    </row>
    <row r="57" spans="1:8" ht="30" customHeight="1" thickBot="1" x14ac:dyDescent="0.25">
      <c r="A57" s="1554" t="s">
        <v>206</v>
      </c>
      <c r="B57" s="1555"/>
      <c r="C57" s="1555"/>
      <c r="D57" s="1555"/>
      <c r="E57" s="1556"/>
      <c r="F57" s="1556"/>
      <c r="G57" s="1063">
        <f>'WTW Input'!H29</f>
        <v>0</v>
      </c>
      <c r="H57" s="998">
        <f>IF($F$31&gt;4,G57,0)</f>
        <v>0</v>
      </c>
    </row>
    <row r="58" spans="1:8" ht="30" customHeight="1" thickBot="1" x14ac:dyDescent="0.25">
      <c r="A58" s="1547" t="s">
        <v>296</v>
      </c>
      <c r="B58" s="1548"/>
      <c r="C58" s="1548"/>
      <c r="D58" s="1548"/>
      <c r="E58" s="1549"/>
      <c r="F58" s="1549"/>
      <c r="G58" s="1064">
        <f>G55+G56+G57</f>
        <v>7000000</v>
      </c>
      <c r="H58" s="1065">
        <f>H55+H56+H57</f>
        <v>7000000</v>
      </c>
    </row>
    <row r="59" spans="1:8" ht="36.75" customHeight="1" thickBot="1" x14ac:dyDescent="0.25">
      <c r="A59" s="1552" t="s">
        <v>295</v>
      </c>
      <c r="B59" s="1553"/>
      <c r="C59" s="1553"/>
      <c r="D59" s="1553"/>
      <c r="E59" s="1553"/>
      <c r="F59" s="1553"/>
      <c r="G59" s="1061">
        <v>2000000</v>
      </c>
      <c r="H59" s="999">
        <f>IF($F$31&gt;4,G59,0)</f>
        <v>2000000</v>
      </c>
    </row>
    <row r="60" spans="1:8" ht="39.75" customHeight="1" thickBot="1" x14ac:dyDescent="0.25">
      <c r="A60" s="1550" t="s">
        <v>381</v>
      </c>
      <c r="B60" s="1551"/>
      <c r="C60" s="1551"/>
      <c r="D60" s="1551"/>
      <c r="E60" s="1551"/>
      <c r="F60" s="1551"/>
      <c r="G60" s="1066">
        <v>15000000</v>
      </c>
      <c r="H60" s="1067">
        <f>IF($F$31&gt;4,G60,0)</f>
        <v>15000000</v>
      </c>
    </row>
    <row r="61" spans="1:8" ht="15.75" thickTop="1" x14ac:dyDescent="0.2">
      <c r="A61" s="8"/>
      <c r="B61" s="8"/>
      <c r="C61" s="8"/>
      <c r="D61" s="8"/>
      <c r="E61" s="8"/>
      <c r="F61" s="8"/>
      <c r="G61" s="8"/>
    </row>
    <row r="66" ht="18.75" customHeight="1" x14ac:dyDescent="0.2"/>
    <row r="73" ht="25.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115" spans="1:8" x14ac:dyDescent="0.2">
      <c r="A115" s="1"/>
      <c r="B115" s="1"/>
      <c r="C115" s="1"/>
      <c r="D115" s="1"/>
      <c r="E115" s="1"/>
      <c r="F115" s="1"/>
      <c r="G115" s="1"/>
      <c r="H115" s="1"/>
    </row>
    <row r="116" spans="1:8" x14ac:dyDescent="0.2">
      <c r="A116" s="1538"/>
      <c r="B116" s="1539"/>
      <c r="C116" s="1539"/>
      <c r="D116" s="1539"/>
      <c r="E116" s="1539"/>
      <c r="F116" s="1539"/>
      <c r="G116" s="1539"/>
      <c r="H116" s="1539"/>
    </row>
  </sheetData>
  <sheetProtection password="CD4C" sheet="1" objects="1" scenarios="1" formatCells="0" formatColumns="0" formatRows="0"/>
  <mergeCells count="53">
    <mergeCell ref="A41:D41"/>
    <mergeCell ref="D31:E31"/>
    <mergeCell ref="A43:D43"/>
    <mergeCell ref="A39:D39"/>
    <mergeCell ref="A40:D40"/>
    <mergeCell ref="A25:C25"/>
    <mergeCell ref="F37:F38"/>
    <mergeCell ref="G37:G38"/>
    <mergeCell ref="H37:H38"/>
    <mergeCell ref="G27:H27"/>
    <mergeCell ref="G28:H28"/>
    <mergeCell ref="G25:H25"/>
    <mergeCell ref="G26:H26"/>
    <mergeCell ref="G29:H29"/>
    <mergeCell ref="G30:H30"/>
    <mergeCell ref="A37:D37"/>
    <mergeCell ref="A21:E24"/>
    <mergeCell ref="D8:E8"/>
    <mergeCell ref="D14:F14"/>
    <mergeCell ref="G20:H20"/>
    <mergeCell ref="G21:H21"/>
    <mergeCell ref="G22:H22"/>
    <mergeCell ref="G23:H23"/>
    <mergeCell ref="G24:H24"/>
    <mergeCell ref="D16:E16"/>
    <mergeCell ref="G8:H8"/>
    <mergeCell ref="A1:H1"/>
    <mergeCell ref="E3:G3"/>
    <mergeCell ref="E2:G2"/>
    <mergeCell ref="G17:H19"/>
    <mergeCell ref="D13:F13"/>
    <mergeCell ref="G4:H4"/>
    <mergeCell ref="E11:H11"/>
    <mergeCell ref="D12:H12"/>
    <mergeCell ref="A116:H116"/>
    <mergeCell ref="A55:F55"/>
    <mergeCell ref="A56:F56"/>
    <mergeCell ref="A58:F58"/>
    <mergeCell ref="A60:F60"/>
    <mergeCell ref="A59:F59"/>
    <mergeCell ref="A57:F57"/>
    <mergeCell ref="A44:D44"/>
    <mergeCell ref="A42:D42"/>
    <mergeCell ref="A54:F54"/>
    <mergeCell ref="A45:D45"/>
    <mergeCell ref="A47:D47"/>
    <mergeCell ref="A50:E50"/>
    <mergeCell ref="A48:D48"/>
    <mergeCell ref="A49:E49"/>
    <mergeCell ref="A46:D46"/>
    <mergeCell ref="A51:D51"/>
    <mergeCell ref="A52:D52"/>
    <mergeCell ref="A53:D53"/>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8">
      <formula1>"ESTIMATES ONLY, TENDER VALUES"</formula1>
    </dataValidation>
    <dataValidation type="list" allowBlank="1" showInputMessage="1" showErrorMessage="1" sqref="D33 E34:E36">
      <formula1>"Y,N"</formula1>
    </dataValidation>
    <dataValidation type="list" allowBlank="1" showInputMessage="1" showErrorMessage="1" sqref="E31:E32 D31">
      <formula1>"INCEPTION, CONCEPT &amp; VIABILITY,DESIGN DEVELOPMENT,DOCUMENTATION &amp; PROCUREMENT,CONTRACT ADMINISTRATION &amp; INSPECTION, CLOSE OUT"</formula1>
    </dataValidation>
    <dataValidation type="list" allowBlank="1" showInputMessage="1" showErrorMessage="1" sqref="D9">
      <formula1>"BUILDING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1"/>
  <headerFooter alignWithMargins="0">
    <oddFooter>&amp;L&amp;"Arial,Regular"&amp;8&amp;F: &amp;A&amp;C&amp;"Arial,Regular"&amp;11&amp;P&amp;R&amp;"Arial,Regular"&amp;8&amp;D</oddFooter>
  </headerFooter>
  <rowBreaks count="1" manualBreakCount="1">
    <brk id="52"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S177"/>
  <sheetViews>
    <sheetView topLeftCell="A61" zoomScale="70" zoomScaleNormal="70" zoomScaleSheetLayoutView="70" workbookViewId="0"/>
  </sheetViews>
  <sheetFormatPr defaultRowHeight="15" x14ac:dyDescent="0.2"/>
  <cols>
    <col min="1" max="1" width="17.441406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9" width="5.33203125" customWidth="1"/>
    <col min="10" max="10" width="4.33203125" customWidth="1"/>
    <col min="11" max="11" width="12.21875" customWidth="1"/>
    <col min="12" max="12" width="3.21875" customWidth="1"/>
    <col min="13" max="13" width="13.88671875" customWidth="1"/>
    <col min="14" max="14" width="6.109375" customWidth="1"/>
    <col min="15" max="15" width="16" customWidth="1"/>
    <col min="16" max="16" width="5.77734375" customWidth="1"/>
    <col min="17" max="17" width="18.77734375" customWidth="1"/>
    <col min="19" max="19" width="16.44140625" bestFit="1" customWidth="1"/>
  </cols>
  <sheetData>
    <row r="1" spans="1:18" ht="38.25" customHeight="1" thickTop="1" x14ac:dyDescent="0.2">
      <c r="A1" s="567"/>
      <c r="B1" s="568"/>
      <c r="C1" s="568"/>
      <c r="D1" s="551"/>
      <c r="E1" s="533"/>
      <c r="F1" s="533"/>
      <c r="G1" s="534"/>
      <c r="H1" s="535"/>
      <c r="I1" s="535"/>
      <c r="J1" s="536"/>
      <c r="K1" s="533" t="s">
        <v>398</v>
      </c>
      <c r="L1" s="551"/>
      <c r="M1" s="644"/>
      <c r="N1" s="537"/>
      <c r="O1" s="651"/>
      <c r="P1" s="551"/>
      <c r="Q1" s="688"/>
      <c r="R1" s="129"/>
    </row>
    <row r="2" spans="1:18" ht="28.5" customHeight="1" x14ac:dyDescent="0.2">
      <c r="A2" s="569" t="s">
        <v>331</v>
      </c>
      <c r="B2" s="570"/>
      <c r="C2" s="570"/>
      <c r="D2" s="29"/>
      <c r="E2" s="29"/>
      <c r="F2" s="538"/>
      <c r="G2" s="29"/>
      <c r="H2" s="538"/>
      <c r="I2" s="421"/>
      <c r="J2" s="421"/>
      <c r="K2" s="29"/>
      <c r="L2" s="643" t="str">
        <f>'Input Data'!E2</f>
        <v xml:space="preserve">CIVIL &amp; STRUCTURAL ENGINEERING  </v>
      </c>
      <c r="M2" s="539" t="str">
        <f>'Input Data'!E3</f>
        <v>ENGINEERING PROJECT:  2010 NDPW FEES</v>
      </c>
      <c r="N2" s="540"/>
      <c r="O2" s="421"/>
      <c r="P2" s="421"/>
      <c r="Q2" s="679" t="str">
        <f>'Input Data'!H3</f>
        <v>Version: 1.5  2012-10</v>
      </c>
      <c r="R2" s="129"/>
    </row>
    <row r="3" spans="1:18" ht="15" customHeight="1" thickBot="1" x14ac:dyDescent="0.25">
      <c r="A3" s="422"/>
      <c r="B3" s="22"/>
      <c r="C3" s="22"/>
      <c r="D3" s="415"/>
      <c r="E3" s="22"/>
      <c r="F3" s="416"/>
      <c r="G3" s="416"/>
      <c r="H3" s="416"/>
      <c r="I3" s="22"/>
      <c r="J3" s="22"/>
      <c r="K3" s="29"/>
      <c r="L3" s="385" t="s">
        <v>19</v>
      </c>
      <c r="M3" s="1106">
        <f>'Input Data'!$D$28</f>
        <v>0</v>
      </c>
      <c r="N3" s="22"/>
      <c r="O3" s="29"/>
      <c r="P3" s="383" t="s">
        <v>141</v>
      </c>
      <c r="Q3" s="501">
        <f>'Input Data'!D27</f>
        <v>0</v>
      </c>
      <c r="R3" s="129"/>
    </row>
    <row r="4" spans="1:18" ht="18" customHeight="1" thickTop="1" thickBot="1" x14ac:dyDescent="0.25">
      <c r="A4" s="557" t="s">
        <v>300</v>
      </c>
      <c r="B4" s="491">
        <f>'Input Data'!D5</f>
        <v>0</v>
      </c>
      <c r="C4" s="1661" t="s">
        <v>332</v>
      </c>
      <c r="D4" s="1662"/>
      <c r="E4" s="1662"/>
      <c r="F4" s="1662"/>
      <c r="G4" s="1662"/>
      <c r="H4" s="1665">
        <f>'Input Data'!$D$6</f>
        <v>0</v>
      </c>
      <c r="I4" s="1666"/>
      <c r="J4" s="31"/>
      <c r="K4" s="31"/>
      <c r="L4" s="32"/>
      <c r="M4" s="29"/>
      <c r="N4" s="29"/>
      <c r="O4" s="382" t="s">
        <v>255</v>
      </c>
      <c r="P4" s="1640">
        <f>'Input Data'!D7</f>
        <v>0</v>
      </c>
      <c r="Q4" s="1670"/>
      <c r="R4" s="129"/>
    </row>
    <row r="5" spans="1:18" ht="20.25" customHeight="1" thickTop="1" thickBot="1" x14ac:dyDescent="0.25">
      <c r="A5" s="1109" t="s">
        <v>20</v>
      </c>
      <c r="B5" s="1673">
        <f>'Input Data'!D11</f>
        <v>0</v>
      </c>
      <c r="C5" s="1674"/>
      <c r="D5" s="1674"/>
      <c r="E5" s="1674"/>
      <c r="F5" s="1674"/>
      <c r="G5" s="1674"/>
      <c r="H5" s="1674"/>
      <c r="I5" s="1674"/>
      <c r="J5" s="1674"/>
      <c r="K5" s="1674"/>
      <c r="L5" s="1674"/>
      <c r="M5" s="1674"/>
      <c r="N5" s="1674"/>
      <c r="O5" s="1674"/>
      <c r="P5" s="1674"/>
      <c r="Q5" s="1675"/>
      <c r="R5" s="129"/>
    </row>
    <row r="6" spans="1:18" ht="20.100000000000001" customHeight="1" thickTop="1" x14ac:dyDescent="0.2">
      <c r="A6" s="399" t="s">
        <v>246</v>
      </c>
      <c r="B6" s="1676" t="str">
        <f>'Input Data'!G17</f>
        <v>NATIONAL DEPARTMENT OF PUBLIC WORKS</v>
      </c>
      <c r="C6" s="1677"/>
      <c r="D6" s="1677"/>
      <c r="E6" s="1677"/>
      <c r="F6" s="1677"/>
      <c r="G6" s="1677"/>
      <c r="H6" s="1677"/>
      <c r="I6" s="1677"/>
      <c r="J6" s="1678"/>
      <c r="K6" s="1656" t="s">
        <v>256</v>
      </c>
      <c r="L6" s="1576"/>
      <c r="M6" s="552">
        <f>'Input Data'!D4</f>
        <v>0</v>
      </c>
      <c r="N6" s="1657" t="s">
        <v>257</v>
      </c>
      <c r="O6" s="1658"/>
      <c r="P6" s="1671" t="str">
        <f>'Input Data'!G23</f>
        <v>NOT REGISTERED</v>
      </c>
      <c r="Q6" s="1672"/>
      <c r="R6" s="129"/>
    </row>
    <row r="7" spans="1:18" ht="20.100000000000001" customHeight="1" x14ac:dyDescent="0.2">
      <c r="A7" s="399" t="s">
        <v>288</v>
      </c>
      <c r="B7" s="1659">
        <f>'Input Data'!G20</f>
        <v>0</v>
      </c>
      <c r="C7" s="1660"/>
      <c r="D7" s="1660"/>
      <c r="E7" s="1660"/>
      <c r="F7" s="1660"/>
      <c r="G7" s="1660"/>
      <c r="H7" s="1660"/>
      <c r="I7" s="1660"/>
      <c r="J7" s="1660"/>
      <c r="K7" s="1656" t="s">
        <v>258</v>
      </c>
      <c r="L7" s="1576"/>
      <c r="M7" s="1713">
        <f>'Input Data'!G21</f>
        <v>0</v>
      </c>
      <c r="N7" s="1714"/>
      <c r="O7" s="1714"/>
      <c r="P7" s="386" t="s">
        <v>376</v>
      </c>
      <c r="Q7" s="502">
        <f>'Input Data'!G22</f>
        <v>0</v>
      </c>
      <c r="R7" s="129"/>
    </row>
    <row r="8" spans="1:18" ht="20.100000000000001" customHeight="1" x14ac:dyDescent="0.2">
      <c r="A8" s="399" t="s">
        <v>377</v>
      </c>
      <c r="B8" s="1659">
        <f>'Input Data'!G25</f>
        <v>0</v>
      </c>
      <c r="C8" s="1660"/>
      <c r="D8" s="1660"/>
      <c r="E8" s="1660"/>
      <c r="F8" s="1660"/>
      <c r="G8" s="1660"/>
      <c r="H8" s="1660"/>
      <c r="I8" s="1660"/>
      <c r="J8" s="1660"/>
      <c r="K8" s="1656" t="s">
        <v>259</v>
      </c>
      <c r="L8" s="1576"/>
      <c r="M8" s="1713">
        <f>'Input Data'!G26</f>
        <v>0</v>
      </c>
      <c r="N8" s="1714"/>
      <c r="O8" s="1714"/>
      <c r="P8" s="386" t="s">
        <v>376</v>
      </c>
      <c r="Q8" s="502">
        <f>'Input Data'!G27</f>
        <v>0</v>
      </c>
      <c r="R8" s="129"/>
    </row>
    <row r="9" spans="1:18" ht="20.100000000000001" customHeight="1" x14ac:dyDescent="0.2">
      <c r="A9" s="399" t="s">
        <v>260</v>
      </c>
      <c r="B9" s="1659">
        <f>'Input Data'!G24</f>
        <v>0</v>
      </c>
      <c r="C9" s="1660"/>
      <c r="D9" s="1660"/>
      <c r="E9" s="1660"/>
      <c r="F9" s="1660"/>
      <c r="G9" s="1660"/>
      <c r="H9" s="1660"/>
      <c r="I9" s="1660"/>
      <c r="J9" s="1708"/>
      <c r="K9" s="22"/>
      <c r="L9" s="554" t="s">
        <v>261</v>
      </c>
      <c r="M9" s="493">
        <f>'Input Data'!G28</f>
        <v>0</v>
      </c>
      <c r="N9" s="386" t="s">
        <v>397</v>
      </c>
      <c r="O9" s="493">
        <f>'Input Data'!G29</f>
        <v>0</v>
      </c>
      <c r="P9" s="386" t="s">
        <v>263</v>
      </c>
      <c r="Q9" s="503">
        <f>'Input Data'!G30</f>
        <v>0</v>
      </c>
      <c r="R9" s="129"/>
    </row>
    <row r="10" spans="1:18" ht="20.100000000000001" customHeight="1" thickBot="1" x14ac:dyDescent="0.25">
      <c r="A10" s="557" t="s">
        <v>264</v>
      </c>
      <c r="B10" s="1709">
        <f>'Input Data'!G4</f>
        <v>0</v>
      </c>
      <c r="C10" s="1710"/>
      <c r="D10" s="1710"/>
      <c r="E10" s="1710"/>
      <c r="F10" s="1710"/>
      <c r="G10" s="1710"/>
      <c r="H10" s="1711"/>
      <c r="I10" s="387" t="s">
        <v>165</v>
      </c>
      <c r="J10" s="1720">
        <f>'Input Data'!G5</f>
        <v>0</v>
      </c>
      <c r="K10" s="1721"/>
      <c r="L10" s="553" t="s">
        <v>182</v>
      </c>
      <c r="M10" s="490">
        <f>'Input Data'!G6</f>
        <v>0</v>
      </c>
      <c r="N10" s="650" t="s">
        <v>265</v>
      </c>
      <c r="O10" s="1667">
        <f>'Input Data'!G8</f>
        <v>0</v>
      </c>
      <c r="P10" s="1668"/>
      <c r="Q10" s="1619"/>
      <c r="R10" s="129"/>
    </row>
    <row r="11" spans="1:18" ht="23.25" customHeight="1" thickTop="1" x14ac:dyDescent="0.2">
      <c r="A11" s="541" t="s">
        <v>336</v>
      </c>
      <c r="B11" s="514"/>
      <c r="C11" s="515"/>
      <c r="D11" s="515"/>
      <c r="E11" s="515"/>
      <c r="F11" s="515"/>
      <c r="G11" s="515"/>
      <c r="H11" s="515"/>
      <c r="I11" s="515"/>
      <c r="J11" s="667"/>
      <c r="K11" s="668"/>
      <c r="L11" s="516"/>
      <c r="M11" s="517"/>
      <c r="N11" s="518"/>
      <c r="O11" s="513"/>
      <c r="P11" s="515"/>
      <c r="Q11" s="571"/>
      <c r="R11" s="129"/>
    </row>
    <row r="12" spans="1:18" ht="20.100000000000001" customHeight="1" x14ac:dyDescent="0.2">
      <c r="A12" s="399" t="s">
        <v>396</v>
      </c>
      <c r="B12" s="1715">
        <f>'Input Data'!D12</f>
        <v>0</v>
      </c>
      <c r="C12" s="1716"/>
      <c r="D12" s="1716"/>
      <c r="E12" s="1716"/>
      <c r="F12" s="1716"/>
      <c r="G12" s="1716"/>
      <c r="H12" s="1716"/>
      <c r="I12" s="1716"/>
      <c r="J12" s="1716"/>
      <c r="K12" s="1716"/>
      <c r="L12" s="1716"/>
      <c r="M12" s="1716"/>
      <c r="N12" s="1716"/>
      <c r="O12" s="519" t="s">
        <v>253</v>
      </c>
      <c r="P12" s="1639">
        <f>'Input Data'!D30</f>
        <v>0</v>
      </c>
      <c r="Q12" s="1617"/>
      <c r="R12" s="129"/>
    </row>
    <row r="13" spans="1:18" ht="20.100000000000001" customHeight="1" x14ac:dyDescent="0.2">
      <c r="A13" s="30" t="s">
        <v>161</v>
      </c>
      <c r="B13" s="1640">
        <f>'Input Data'!D13</f>
        <v>0</v>
      </c>
      <c r="C13" s="1604"/>
      <c r="D13" s="1604"/>
      <c r="E13" s="1604"/>
      <c r="F13" s="1604"/>
      <c r="G13" s="1604"/>
      <c r="H13" s="1604"/>
      <c r="I13" s="1604"/>
      <c r="J13" s="1604"/>
      <c r="K13" s="1604"/>
      <c r="L13" s="1604"/>
      <c r="M13" s="1604"/>
      <c r="N13" s="1604"/>
      <c r="O13" s="1604"/>
      <c r="P13" s="385" t="s">
        <v>376</v>
      </c>
      <c r="Q13" s="638">
        <f>'Input Data'!H13</f>
        <v>0</v>
      </c>
      <c r="R13" s="129"/>
    </row>
    <row r="14" spans="1:18" ht="20.100000000000001" customHeight="1" x14ac:dyDescent="0.2">
      <c r="A14" s="30" t="s">
        <v>377</v>
      </c>
      <c r="B14" s="1640">
        <f>'Input Data'!D14</f>
        <v>0</v>
      </c>
      <c r="C14" s="1604"/>
      <c r="D14" s="1604"/>
      <c r="E14" s="1604"/>
      <c r="F14" s="1604"/>
      <c r="G14" s="1604"/>
      <c r="H14" s="1604"/>
      <c r="I14" s="1604"/>
      <c r="J14" s="1604"/>
      <c r="K14" s="1604"/>
      <c r="L14" s="1604"/>
      <c r="M14" s="1604"/>
      <c r="N14" s="1604"/>
      <c r="O14" s="1719"/>
      <c r="P14" s="386" t="s">
        <v>376</v>
      </c>
      <c r="Q14" s="639">
        <f>'Input Data'!H14</f>
        <v>0</v>
      </c>
      <c r="R14" s="129"/>
    </row>
    <row r="15" spans="1:18" ht="20.100000000000001" customHeight="1" x14ac:dyDescent="0.2">
      <c r="A15" s="422"/>
      <c r="B15" s="399" t="s">
        <v>114</v>
      </c>
      <c r="C15" s="1717">
        <f>IF('Input Data'!E17="None","NOT REGITERED FOR VAT",'Input Data'!E17)</f>
        <v>0</v>
      </c>
      <c r="D15" s="1718"/>
      <c r="E15" s="1718"/>
      <c r="F15" s="1718"/>
      <c r="G15" s="1718"/>
      <c r="H15" s="1718"/>
      <c r="I15" s="1718"/>
      <c r="J15" s="1718"/>
      <c r="K15" s="29"/>
      <c r="L15" s="22"/>
      <c r="M15" s="29"/>
      <c r="N15" s="492" t="s">
        <v>245</v>
      </c>
      <c r="O15" s="1640">
        <f>'Input Data'!D18</f>
        <v>0</v>
      </c>
      <c r="P15" s="1604"/>
      <c r="Q15" s="1669"/>
      <c r="R15" s="129"/>
    </row>
    <row r="16" spans="1:18" ht="20.100000000000001" customHeight="1" x14ac:dyDescent="0.2">
      <c r="A16" s="30" t="s">
        <v>29</v>
      </c>
      <c r="B16" s="640">
        <f>'Input Data'!D19</f>
        <v>0</v>
      </c>
      <c r="C16" s="419"/>
      <c r="D16" s="419"/>
      <c r="E16" s="419"/>
      <c r="F16" s="418"/>
      <c r="G16" s="418"/>
      <c r="H16" s="418"/>
      <c r="I16" s="418"/>
      <c r="J16" s="22"/>
      <c r="K16" s="29"/>
      <c r="L16" s="1712"/>
      <c r="M16" s="1635"/>
      <c r="N16" s="417"/>
      <c r="O16" s="22"/>
      <c r="P16" s="385" t="s">
        <v>266</v>
      </c>
      <c r="Q16" s="502">
        <f>'Input Data'!F15</f>
        <v>0</v>
      </c>
      <c r="R16" s="129"/>
    </row>
    <row r="17" spans="1:18" ht="20.100000000000001" customHeight="1" x14ac:dyDescent="0.2">
      <c r="A17" s="384" t="s">
        <v>333</v>
      </c>
      <c r="B17" s="1640">
        <f>'Input Data'!D29</f>
        <v>0</v>
      </c>
      <c r="C17" s="1604"/>
      <c r="D17" s="1604"/>
      <c r="E17" s="1604"/>
      <c r="F17" s="1604"/>
      <c r="G17" s="1604"/>
      <c r="H17" s="1604"/>
      <c r="I17" s="1604"/>
      <c r="J17" s="29"/>
      <c r="K17" s="385"/>
      <c r="L17" s="29"/>
      <c r="M17" s="385" t="s">
        <v>261</v>
      </c>
      <c r="N17" s="1640">
        <f>'Input Data'!D15</f>
        <v>0</v>
      </c>
      <c r="O17" s="1604"/>
      <c r="P17" s="385" t="s">
        <v>262</v>
      </c>
      <c r="Q17" s="502">
        <f>'Input Data'!H15</f>
        <v>0</v>
      </c>
      <c r="R17" s="129"/>
    </row>
    <row r="18" spans="1:18" ht="20.100000000000001" customHeight="1" thickBot="1" x14ac:dyDescent="0.25">
      <c r="A18" s="397" t="s">
        <v>30</v>
      </c>
      <c r="B18" s="31"/>
      <c r="C18" s="1641" t="str">
        <f>'Input Data'!D25</f>
        <v>USE TIME BASED FEES</v>
      </c>
      <c r="D18" s="1642"/>
      <c r="E18" s="1642"/>
      <c r="F18" s="1642"/>
      <c r="G18" s="1642"/>
      <c r="H18" s="1642"/>
      <c r="I18" s="1642"/>
      <c r="J18" s="31"/>
      <c r="K18" s="383"/>
      <c r="L18" s="383"/>
      <c r="M18" s="479"/>
      <c r="N18" s="479" t="s">
        <v>265</v>
      </c>
      <c r="O18" s="1648">
        <f>'Input Data'!D16</f>
        <v>0</v>
      </c>
      <c r="P18" s="1649"/>
      <c r="Q18" s="1650"/>
      <c r="R18" s="129"/>
    </row>
    <row r="19" spans="1:18" ht="24.75" customHeight="1" thickTop="1" thickBot="1" x14ac:dyDescent="0.25">
      <c r="A19" s="389" t="str">
        <f>IF('Input Data'!$F$31&gt;4,"STAGE:","STAGE COMPLETED:")</f>
        <v>STAGE COMPLETED:</v>
      </c>
      <c r="B19" s="1646" t="str">
        <f>'Input Data'!D31</f>
        <v>INCEPTION</v>
      </c>
      <c r="C19" s="1647"/>
      <c r="D19" s="1647"/>
      <c r="E19" s="1647"/>
      <c r="F19" s="1647"/>
      <c r="G19" s="1647"/>
      <c r="H19" s="1647"/>
      <c r="I19" s="1647"/>
      <c r="J19" s="1647"/>
      <c r="K19" s="1647"/>
      <c r="L19" s="1643" t="str">
        <f>IF('Input Data'!$E$38=1,"ESTIMATED TOTAL VALUE OF ENGINEERING WORK","TOTAL VALUE OF ENGINEERING WORK")</f>
        <v>ESTIMATED TOTAL VALUE OF ENGINEERING WORK</v>
      </c>
      <c r="M19" s="1644"/>
      <c r="N19" s="1644"/>
      <c r="O19" s="1644"/>
      <c r="P19" s="1645"/>
      <c r="Q19" s="924">
        <f>IF('Input Data'!E38&lt;2,0.8*'Input Data'!H48,'Input Data'!H48)</f>
        <v>0</v>
      </c>
      <c r="R19" s="129"/>
    </row>
    <row r="20" spans="1:18" ht="23.25" customHeight="1" thickTop="1" thickBot="1" x14ac:dyDescent="0.25">
      <c r="A20" s="1691" t="s">
        <v>228</v>
      </c>
      <c r="B20" s="1692"/>
      <c r="C20" s="1692"/>
      <c r="D20" s="1692"/>
      <c r="E20" s="1692"/>
      <c r="F20" s="1692"/>
      <c r="G20" s="1692"/>
      <c r="H20" s="1692"/>
      <c r="I20" s="1692"/>
      <c r="J20" s="1693"/>
      <c r="K20" s="946">
        <f>IF('Input Data'!E38&lt;2,0.8*'Input Data'!H51,'Input Data'!H51)</f>
        <v>0</v>
      </c>
      <c r="L20" s="1654" t="str">
        <f>IF('Input Data'!$E$38=1,"ESTIMATED TOTAL VALUE OF PROJECT","TOTAL VALUE OF PROJECT")</f>
        <v>ESTIMATED TOTAL VALUE OF PROJECT</v>
      </c>
      <c r="M20" s="1655"/>
      <c r="N20" s="1655"/>
      <c r="O20" s="1655"/>
      <c r="P20" s="1655"/>
      <c r="Q20" s="925">
        <f>IF('Input Data'!E38&lt;2,0.8*'Input Data'!H52,'Input Data'!H52)</f>
        <v>0</v>
      </c>
      <c r="R20" s="129"/>
    </row>
    <row r="21" spans="1:18" ht="22.5" customHeight="1" thickTop="1" x14ac:dyDescent="0.2">
      <c r="A21" s="33" t="s">
        <v>318</v>
      </c>
      <c r="B21" s="34"/>
      <c r="C21" s="34"/>
      <c r="D21" s="34"/>
      <c r="E21" s="34"/>
      <c r="F21" s="34"/>
      <c r="G21" s="34"/>
      <c r="H21" s="34"/>
      <c r="I21" s="34"/>
      <c r="J21" s="34"/>
      <c r="K21" s="34"/>
      <c r="L21" s="34"/>
      <c r="M21" s="34"/>
      <c r="N21" s="34"/>
      <c r="O21" s="34"/>
      <c r="P21" s="34"/>
      <c r="Q21" s="35"/>
      <c r="R21" s="129"/>
    </row>
    <row r="22" spans="1:18" ht="12" customHeight="1" x14ac:dyDescent="0.2">
      <c r="A22" s="43"/>
      <c r="B22" s="19"/>
      <c r="C22" s="20"/>
      <c r="D22" s="44"/>
      <c r="E22" s="44"/>
      <c r="F22" s="44"/>
      <c r="G22" s="44"/>
      <c r="H22" s="44"/>
      <c r="I22" s="20"/>
      <c r="J22" s="20"/>
      <c r="K22" s="45"/>
      <c r="L22" s="25"/>
      <c r="M22" s="47"/>
      <c r="N22" s="40"/>
      <c r="O22" s="25"/>
      <c r="P22" s="25"/>
      <c r="Q22" s="486"/>
      <c r="R22" s="129"/>
    </row>
    <row r="23" spans="1:18" x14ac:dyDescent="0.2">
      <c r="A23" s="1653" t="s">
        <v>175</v>
      </c>
      <c r="B23" s="1635"/>
      <c r="C23" s="1635"/>
      <c r="D23" s="1635"/>
      <c r="E23" s="1635"/>
      <c r="F23" s="1635"/>
      <c r="G23" s="1635"/>
      <c r="H23" s="1635"/>
      <c r="I23" s="1635"/>
      <c r="J23" s="1635"/>
      <c r="K23" s="1635"/>
      <c r="L23" s="1635"/>
      <c r="M23" s="1635"/>
      <c r="N23" s="29"/>
      <c r="O23" s="29"/>
      <c r="P23" s="29"/>
      <c r="Q23" s="926">
        <f>Q117</f>
        <v>0</v>
      </c>
      <c r="R23" s="129"/>
    </row>
    <row r="24" spans="1:18" ht="8.25" customHeight="1" x14ac:dyDescent="0.2">
      <c r="A24" s="62"/>
      <c r="B24" s="63"/>
      <c r="C24" s="19"/>
      <c r="D24" s="19"/>
      <c r="E24" s="19"/>
      <c r="F24" s="19"/>
      <c r="G24" s="29"/>
      <c r="H24" s="29"/>
      <c r="I24" s="29"/>
      <c r="J24" s="29"/>
      <c r="K24" s="29"/>
      <c r="L24" s="29"/>
      <c r="M24" s="29"/>
      <c r="N24" s="29"/>
      <c r="O24" s="29"/>
      <c r="P24" s="29"/>
      <c r="Q24" s="926"/>
      <c r="R24" s="129"/>
    </row>
    <row r="25" spans="1:18" ht="16.5" customHeight="1" x14ac:dyDescent="0.2">
      <c r="A25" s="1652" t="s">
        <v>131</v>
      </c>
      <c r="B25" s="1635"/>
      <c r="C25" s="1635"/>
      <c r="D25" s="1635"/>
      <c r="E25" s="1635"/>
      <c r="F25" s="1635"/>
      <c r="G25" s="1635"/>
      <c r="H25" s="1635"/>
      <c r="I25" s="1635"/>
      <c r="J25" s="1635"/>
      <c r="K25" s="1635"/>
      <c r="L25" s="1635"/>
      <c r="M25" s="1635"/>
      <c r="N25" s="1635"/>
      <c r="O25" s="29"/>
      <c r="P25" s="29"/>
      <c r="Q25" s="926">
        <f>Q120</f>
        <v>0</v>
      </c>
      <c r="R25" s="129"/>
    </row>
    <row r="26" spans="1:18" ht="8.25" customHeight="1" x14ac:dyDescent="0.2">
      <c r="A26" s="476"/>
      <c r="B26" s="421"/>
      <c r="C26" s="421"/>
      <c r="D26" s="421"/>
      <c r="E26" s="4"/>
      <c r="F26" s="4"/>
      <c r="G26" s="29"/>
      <c r="H26" s="29"/>
      <c r="I26" s="29"/>
      <c r="J26" s="29"/>
      <c r="K26" s="29"/>
      <c r="L26" s="29"/>
      <c r="M26" s="29"/>
      <c r="N26" s="29"/>
      <c r="O26" s="29"/>
      <c r="P26" s="29"/>
      <c r="Q26" s="926"/>
      <c r="R26" s="129"/>
    </row>
    <row r="27" spans="1:18" ht="15.75" customHeight="1" x14ac:dyDescent="0.2">
      <c r="A27" s="1651" t="s">
        <v>176</v>
      </c>
      <c r="B27" s="1635"/>
      <c r="C27" s="1635"/>
      <c r="D27" s="1635"/>
      <c r="E27" s="1635"/>
      <c r="F27" s="1635"/>
      <c r="G27" s="1635"/>
      <c r="H27" s="1635"/>
      <c r="I27" s="1635"/>
      <c r="J27" s="1635"/>
      <c r="K27" s="1635"/>
      <c r="L27" s="1635"/>
      <c r="M27" s="1635"/>
      <c r="N27" s="1635"/>
      <c r="O27" s="29"/>
      <c r="P27" s="29"/>
      <c r="Q27" s="926">
        <f>Q123</f>
        <v>0</v>
      </c>
      <c r="R27" s="129"/>
    </row>
    <row r="28" spans="1:18" ht="7.5" customHeight="1" x14ac:dyDescent="0.2">
      <c r="A28" s="422"/>
      <c r="B28" s="29"/>
      <c r="C28" s="29"/>
      <c r="D28" s="29"/>
      <c r="E28" s="19"/>
      <c r="F28" s="19"/>
      <c r="G28" s="29"/>
      <c r="H28" s="29"/>
      <c r="I28" s="29"/>
      <c r="J28" s="29"/>
      <c r="K28" s="29"/>
      <c r="L28" s="29"/>
      <c r="M28" s="29"/>
      <c r="N28" s="29"/>
      <c r="O28" s="29"/>
      <c r="P28" s="29"/>
      <c r="Q28" s="926"/>
      <c r="R28" s="129"/>
    </row>
    <row r="29" spans="1:18" ht="18.75" customHeight="1" x14ac:dyDescent="0.2">
      <c r="A29" s="1651" t="s">
        <v>177</v>
      </c>
      <c r="B29" s="1635"/>
      <c r="C29" s="1635"/>
      <c r="D29" s="1635"/>
      <c r="E29" s="1635"/>
      <c r="F29" s="1635"/>
      <c r="G29" s="1635"/>
      <c r="H29" s="1635"/>
      <c r="I29" s="1635"/>
      <c r="J29" s="1635"/>
      <c r="K29" s="1635"/>
      <c r="L29" s="1635"/>
      <c r="M29" s="1635"/>
      <c r="N29" s="1635"/>
      <c r="O29" s="29"/>
      <c r="P29" s="29"/>
      <c r="Q29" s="926">
        <f>Q126</f>
        <v>0</v>
      </c>
      <c r="R29" s="129"/>
    </row>
    <row r="30" spans="1:18" ht="6.75" customHeight="1" x14ac:dyDescent="0.2">
      <c r="A30" s="422"/>
      <c r="B30" s="29"/>
      <c r="C30" s="29"/>
      <c r="D30" s="29"/>
      <c r="E30" s="29"/>
      <c r="F30" s="29"/>
      <c r="G30" s="29"/>
      <c r="H30" s="29"/>
      <c r="I30" s="29"/>
      <c r="J30" s="29"/>
      <c r="K30" s="29"/>
      <c r="L30" s="29"/>
      <c r="M30" s="29"/>
      <c r="N30" s="29"/>
      <c r="O30" s="29"/>
      <c r="P30" s="29"/>
      <c r="Q30" s="926"/>
      <c r="R30" s="129"/>
    </row>
    <row r="31" spans="1:18" ht="22.5" customHeight="1" x14ac:dyDescent="0.2">
      <c r="A31" s="1652" t="s">
        <v>146</v>
      </c>
      <c r="B31" s="1635"/>
      <c r="C31" s="1635"/>
      <c r="D31" s="1635"/>
      <c r="E31" s="1635"/>
      <c r="F31" s="1635"/>
      <c r="G31" s="1635"/>
      <c r="H31" s="1635"/>
      <c r="I31" s="1635"/>
      <c r="J31" s="1635"/>
      <c r="K31" s="1635"/>
      <c r="L31" s="1635"/>
      <c r="M31" s="1635"/>
      <c r="N31" s="1635"/>
      <c r="O31" s="29"/>
      <c r="P31" s="29"/>
      <c r="Q31" s="926">
        <f>Q129</f>
        <v>0</v>
      </c>
      <c r="R31" s="129"/>
    </row>
    <row r="32" spans="1:18" ht="7.5" customHeight="1" x14ac:dyDescent="0.2">
      <c r="A32" s="6"/>
      <c r="B32" s="9"/>
      <c r="C32" s="9"/>
      <c r="D32" s="9"/>
      <c r="E32" s="423"/>
      <c r="F32" s="423"/>
      <c r="G32" s="29"/>
      <c r="H32" s="29"/>
      <c r="I32" s="29"/>
      <c r="J32" s="29"/>
      <c r="K32" s="29"/>
      <c r="L32" s="29"/>
      <c r="M32" s="29"/>
      <c r="N32" s="29"/>
      <c r="O32" s="29"/>
      <c r="P32" s="29"/>
      <c r="Q32" s="926"/>
      <c r="R32" s="129"/>
    </row>
    <row r="33" spans="1:18" ht="16.5" customHeight="1" x14ac:dyDescent="0.2">
      <c r="A33" s="1652" t="s">
        <v>147</v>
      </c>
      <c r="B33" s="1635"/>
      <c r="C33" s="1635"/>
      <c r="D33" s="1635"/>
      <c r="E33" s="1635"/>
      <c r="F33" s="1635"/>
      <c r="G33" s="1635"/>
      <c r="H33" s="1635"/>
      <c r="I33" s="1635"/>
      <c r="J33" s="1635"/>
      <c r="K33" s="1635"/>
      <c r="L33" s="1635"/>
      <c r="M33" s="1635"/>
      <c r="N33" s="1635"/>
      <c r="O33" s="29"/>
      <c r="P33" s="29"/>
      <c r="Q33" s="926">
        <f>Q132</f>
        <v>0</v>
      </c>
      <c r="R33" s="129"/>
    </row>
    <row r="34" spans="1:18" ht="9" customHeight="1" x14ac:dyDescent="0.2">
      <c r="A34" s="6"/>
      <c r="B34" s="9"/>
      <c r="C34" s="9"/>
      <c r="D34" s="9"/>
      <c r="E34" s="423"/>
      <c r="F34" s="423"/>
      <c r="G34" s="29"/>
      <c r="H34" s="29"/>
      <c r="I34" s="29"/>
      <c r="J34" s="29"/>
      <c r="K34" s="29"/>
      <c r="L34" s="29"/>
      <c r="M34" s="29"/>
      <c r="N34" s="29"/>
      <c r="O34" s="29"/>
      <c r="P34" s="29"/>
      <c r="Q34" s="926"/>
      <c r="R34" s="129"/>
    </row>
    <row r="35" spans="1:18" ht="18.75" customHeight="1" x14ac:dyDescent="0.2">
      <c r="A35" s="1652" t="s">
        <v>129</v>
      </c>
      <c r="B35" s="1635"/>
      <c r="C35" s="1635"/>
      <c r="D35" s="1635"/>
      <c r="E35" s="1635"/>
      <c r="F35" s="1635"/>
      <c r="G35" s="1635"/>
      <c r="H35" s="1635"/>
      <c r="I35" s="1635"/>
      <c r="J35" s="1635"/>
      <c r="K35" s="1635"/>
      <c r="L35" s="1635"/>
      <c r="M35" s="1635"/>
      <c r="N35" s="1635"/>
      <c r="O35" s="29"/>
      <c r="P35" s="29"/>
      <c r="Q35" s="926">
        <f>Q135</f>
        <v>0</v>
      </c>
      <c r="R35" s="129"/>
    </row>
    <row r="36" spans="1:18" ht="8.25" customHeight="1" x14ac:dyDescent="0.2">
      <c r="A36" s="476"/>
      <c r="B36" s="421"/>
      <c r="C36" s="421"/>
      <c r="D36" s="421"/>
      <c r="E36" s="29"/>
      <c r="F36" s="29"/>
      <c r="G36" s="29"/>
      <c r="H36" s="29"/>
      <c r="I36" s="29"/>
      <c r="J36" s="29"/>
      <c r="K36" s="29"/>
      <c r="L36" s="29"/>
      <c r="M36" s="29"/>
      <c r="N36" s="29"/>
      <c r="O36" s="29"/>
      <c r="P36" s="29"/>
      <c r="Q36" s="926"/>
      <c r="R36" s="129"/>
    </row>
    <row r="37" spans="1:18" ht="15.95" customHeight="1" thickBot="1" x14ac:dyDescent="0.25">
      <c r="A37" s="1652" t="s">
        <v>148</v>
      </c>
      <c r="B37" s="1635"/>
      <c r="C37" s="1635"/>
      <c r="D37" s="1635"/>
      <c r="E37" s="1635"/>
      <c r="F37" s="1635"/>
      <c r="G37" s="1635"/>
      <c r="H37" s="1635"/>
      <c r="I37" s="1635"/>
      <c r="J37" s="1635"/>
      <c r="K37" s="1635"/>
      <c r="L37" s="1635"/>
      <c r="M37" s="1635"/>
      <c r="N37" s="1635"/>
      <c r="O37" s="29"/>
      <c r="P37" s="29"/>
      <c r="Q37" s="927">
        <f>Q138</f>
        <v>0</v>
      </c>
      <c r="R37" s="129"/>
    </row>
    <row r="38" spans="1:18" ht="24" customHeight="1" thickBot="1" x14ac:dyDescent="0.25">
      <c r="A38" s="487"/>
      <c r="B38" s="488"/>
      <c r="C38" s="488"/>
      <c r="D38" s="488"/>
      <c r="E38" s="32"/>
      <c r="F38" s="32"/>
      <c r="G38" s="32"/>
      <c r="H38" s="32"/>
      <c r="I38" s="32"/>
      <c r="J38" s="32"/>
      <c r="K38" s="32"/>
      <c r="L38" s="32"/>
      <c r="M38" s="32"/>
      <c r="N38" s="32"/>
      <c r="O38" s="484" t="s">
        <v>166</v>
      </c>
      <c r="P38" s="32"/>
      <c r="Q38" s="928">
        <f>Q140</f>
        <v>0</v>
      </c>
      <c r="R38" s="129"/>
    </row>
    <row r="39" spans="1:18" ht="26.25" customHeight="1" thickTop="1" x14ac:dyDescent="0.2">
      <c r="A39" s="1634" t="s">
        <v>132</v>
      </c>
      <c r="B39" s="1635"/>
      <c r="C39" s="1635"/>
      <c r="D39" s="1635"/>
      <c r="E39" s="1635"/>
      <c r="F39" s="1635"/>
      <c r="G39" s="1635"/>
      <c r="H39" s="1635"/>
      <c r="I39" s="1635"/>
      <c r="J39" s="1635"/>
      <c r="K39" s="1635"/>
      <c r="L39" s="1635"/>
      <c r="M39" s="1635"/>
      <c r="N39" s="29"/>
      <c r="O39" s="29"/>
      <c r="P39" s="29"/>
      <c r="Q39" s="926"/>
      <c r="R39" s="129"/>
    </row>
    <row r="40" spans="1:18" ht="15.95" customHeight="1" x14ac:dyDescent="0.2">
      <c r="A40" s="43" t="s">
        <v>149</v>
      </c>
      <c r="B40" s="19"/>
      <c r="C40" s="48"/>
      <c r="D40" s="19"/>
      <c r="E40" s="19"/>
      <c r="F40" s="19"/>
      <c r="G40" s="19"/>
      <c r="H40" s="19"/>
      <c r="I40" s="29"/>
      <c r="J40" s="36"/>
      <c r="K40" s="29"/>
      <c r="L40" s="29"/>
      <c r="M40" s="29"/>
      <c r="N40" s="29"/>
      <c r="O40" s="29"/>
      <c r="P40" s="29"/>
      <c r="Q40" s="926">
        <f>Q143</f>
        <v>0</v>
      </c>
      <c r="R40" s="129"/>
    </row>
    <row r="41" spans="1:18" ht="8.25" customHeight="1" thickBot="1" x14ac:dyDescent="0.25">
      <c r="A41" s="123"/>
      <c r="B41" s="12"/>
      <c r="C41" s="86"/>
      <c r="D41" s="86"/>
      <c r="E41" s="86"/>
      <c r="F41" s="86"/>
      <c r="G41" s="86"/>
      <c r="H41" s="86"/>
      <c r="I41" s="133"/>
      <c r="J41" s="85"/>
      <c r="K41" s="505"/>
      <c r="L41" s="505"/>
      <c r="M41" s="505"/>
      <c r="N41" s="505"/>
      <c r="O41" s="505"/>
      <c r="P41" s="505"/>
      <c r="Q41" s="927"/>
      <c r="R41" s="129"/>
    </row>
    <row r="42" spans="1:18" ht="9" customHeight="1" x14ac:dyDescent="0.2">
      <c r="A42" s="62"/>
      <c r="B42" s="63"/>
      <c r="C42" s="19"/>
      <c r="D42" s="19"/>
      <c r="E42" s="19"/>
      <c r="F42" s="19"/>
      <c r="G42" s="19"/>
      <c r="H42" s="19"/>
      <c r="I42" s="64"/>
      <c r="J42" s="49"/>
      <c r="K42" s="29"/>
      <c r="L42" s="29"/>
      <c r="M42" s="29"/>
      <c r="N42" s="29"/>
      <c r="O42" s="29"/>
      <c r="P42" s="29"/>
      <c r="Q42" s="926"/>
      <c r="R42" s="129"/>
    </row>
    <row r="43" spans="1:18" ht="15.95" customHeight="1" x14ac:dyDescent="0.2">
      <c r="A43" s="16" t="s">
        <v>198</v>
      </c>
      <c r="B43" s="63"/>
      <c r="C43" s="19"/>
      <c r="D43" s="19"/>
      <c r="E43" s="19"/>
      <c r="F43" s="19"/>
      <c r="G43" s="19"/>
      <c r="H43" s="19"/>
      <c r="I43" s="19"/>
      <c r="J43" s="19"/>
      <c r="K43" s="29"/>
      <c r="L43" s="29"/>
      <c r="M43" s="29"/>
      <c r="N43" s="29"/>
      <c r="O43" s="29"/>
      <c r="P43" s="29"/>
      <c r="Q43" s="926">
        <f>Q147</f>
        <v>0</v>
      </c>
      <c r="R43" s="129"/>
    </row>
    <row r="44" spans="1:18" ht="8.25" customHeight="1" thickBot="1" x14ac:dyDescent="0.25">
      <c r="A44" s="11"/>
      <c r="B44" s="12"/>
      <c r="C44" s="133"/>
      <c r="D44" s="134"/>
      <c r="E44" s="134"/>
      <c r="F44" s="134"/>
      <c r="G44" s="134"/>
      <c r="H44" s="134"/>
      <c r="I44" s="164"/>
      <c r="J44" s="165"/>
      <c r="K44" s="505"/>
      <c r="L44" s="505"/>
      <c r="M44" s="505"/>
      <c r="N44" s="505"/>
      <c r="O44" s="505"/>
      <c r="P44" s="505"/>
      <c r="Q44" s="927"/>
      <c r="R44" s="129"/>
    </row>
    <row r="45" spans="1:18" ht="8.25" customHeight="1" x14ac:dyDescent="0.2">
      <c r="A45" s="17"/>
      <c r="B45" s="63"/>
      <c r="C45" s="64"/>
      <c r="D45" s="36"/>
      <c r="E45" s="36"/>
      <c r="F45" s="36"/>
      <c r="G45" s="36"/>
      <c r="H45" s="36"/>
      <c r="I45" s="37"/>
      <c r="J45" s="38"/>
      <c r="K45" s="29"/>
      <c r="L45" s="29"/>
      <c r="M45" s="29"/>
      <c r="N45" s="29"/>
      <c r="O45" s="29"/>
      <c r="P45" s="29"/>
      <c r="Q45" s="926"/>
      <c r="R45" s="129"/>
    </row>
    <row r="46" spans="1:18" ht="16.5" customHeight="1" x14ac:dyDescent="0.2">
      <c r="A46" s="499" t="s">
        <v>334</v>
      </c>
      <c r="B46" s="63"/>
      <c r="C46" s="64"/>
      <c r="D46" s="36"/>
      <c r="E46" s="36"/>
      <c r="F46" s="36"/>
      <c r="G46" s="36"/>
      <c r="H46" s="36"/>
      <c r="I46" s="37"/>
      <c r="J46" s="38"/>
      <c r="K46" s="29"/>
      <c r="L46" s="29"/>
      <c r="M46" s="29"/>
      <c r="N46" s="29"/>
      <c r="O46" s="29"/>
      <c r="P46" s="29"/>
      <c r="Q46" s="926">
        <f>Q150</f>
        <v>0</v>
      </c>
      <c r="R46" s="129"/>
    </row>
    <row r="47" spans="1:18" ht="9" customHeight="1" thickBot="1" x14ac:dyDescent="0.25">
      <c r="A47" s="1663"/>
      <c r="B47" s="1664"/>
      <c r="C47" s="1664"/>
      <c r="D47" s="1664"/>
      <c r="E47" s="1664"/>
      <c r="F47" s="1664"/>
      <c r="G47" s="1664"/>
      <c r="H47" s="1664"/>
      <c r="I47" s="1664"/>
      <c r="J47" s="1664"/>
      <c r="K47" s="1664"/>
      <c r="L47" s="1664"/>
      <c r="M47" s="1664"/>
      <c r="N47" s="1664"/>
      <c r="O47" s="1664"/>
      <c r="P47" s="1664"/>
      <c r="Q47" s="929"/>
      <c r="R47" s="129"/>
    </row>
    <row r="48" spans="1:18" ht="15.95" customHeight="1" thickTop="1" thickBot="1" x14ac:dyDescent="0.25">
      <c r="A48" s="466"/>
      <c r="B48" s="467"/>
      <c r="C48" s="468"/>
      <c r="D48" s="467"/>
      <c r="E48" s="467"/>
      <c r="F48" s="467"/>
      <c r="G48" s="469"/>
      <c r="H48" s="467"/>
      <c r="I48" s="467"/>
      <c r="J48" s="467"/>
      <c r="K48" s="470"/>
      <c r="L48" s="470"/>
      <c r="M48" s="468"/>
      <c r="N48" s="468"/>
      <c r="O48" s="468"/>
      <c r="P48" s="465" t="s">
        <v>320</v>
      </c>
      <c r="Q48" s="928">
        <f>Q152</f>
        <v>0</v>
      </c>
      <c r="R48" s="129"/>
    </row>
    <row r="49" spans="1:18" ht="15" customHeight="1" thickTop="1" x14ac:dyDescent="0.2">
      <c r="A49" s="422"/>
      <c r="B49" s="29"/>
      <c r="C49" s="29"/>
      <c r="D49" s="29"/>
      <c r="E49" s="29"/>
      <c r="F49" s="29"/>
      <c r="G49" s="29"/>
      <c r="H49" s="29"/>
      <c r="I49" s="29"/>
      <c r="J49" s="29"/>
      <c r="K49" s="29"/>
      <c r="L49" s="29"/>
      <c r="M49" s="29"/>
      <c r="N49" s="29"/>
      <c r="O49" s="29"/>
      <c r="P49" s="29"/>
      <c r="Q49" s="926"/>
      <c r="R49" s="129"/>
    </row>
    <row r="50" spans="1:18" ht="15.95" customHeight="1" x14ac:dyDescent="0.2">
      <c r="A50" s="82" t="s">
        <v>319</v>
      </c>
      <c r="B50" s="63"/>
      <c r="C50" s="63"/>
      <c r="D50" s="29"/>
      <c r="E50" s="29"/>
      <c r="F50" s="29"/>
      <c r="G50" s="29"/>
      <c r="H50" s="29"/>
      <c r="I50" s="29"/>
      <c r="J50" s="29"/>
      <c r="K50" s="29"/>
      <c r="L50" s="29"/>
      <c r="M50" s="29"/>
      <c r="N50" s="29"/>
      <c r="O50" s="29"/>
      <c r="P50" s="29"/>
      <c r="Q50" s="926"/>
      <c r="R50" s="129"/>
    </row>
    <row r="51" spans="1:18" ht="9" customHeight="1" x14ac:dyDescent="0.2">
      <c r="A51" s="82"/>
      <c r="B51" s="63"/>
      <c r="C51" s="63"/>
      <c r="D51" s="29"/>
      <c r="E51" s="29"/>
      <c r="F51" s="29"/>
      <c r="G51" s="29"/>
      <c r="H51" s="29"/>
      <c r="I51" s="29"/>
      <c r="J51" s="29"/>
      <c r="K51" s="29"/>
      <c r="L51" s="29"/>
      <c r="M51" s="29"/>
      <c r="N51" s="29"/>
      <c r="O51" s="29"/>
      <c r="P51" s="29"/>
      <c r="Q51" s="926"/>
      <c r="R51" s="129"/>
    </row>
    <row r="52" spans="1:18" ht="15.95" customHeight="1" x14ac:dyDescent="0.2">
      <c r="A52" s="1653" t="s">
        <v>175</v>
      </c>
      <c r="B52" s="1635"/>
      <c r="C52" s="1635"/>
      <c r="D52" s="1635"/>
      <c r="E52" s="1635"/>
      <c r="F52" s="1635"/>
      <c r="G52" s="1635"/>
      <c r="H52" s="1635"/>
      <c r="I52" s="1635"/>
      <c r="J52" s="1635"/>
      <c r="K52" s="1635"/>
      <c r="L52" s="1635"/>
      <c r="M52" s="1635"/>
      <c r="N52" s="1635"/>
      <c r="O52" s="29"/>
      <c r="P52" s="29"/>
      <c r="Q52" s="926">
        <f>Q155</f>
        <v>0</v>
      </c>
      <c r="R52" s="129"/>
    </row>
    <row r="53" spans="1:18" ht="9" customHeight="1" x14ac:dyDescent="0.2">
      <c r="A53" s="422"/>
      <c r="B53" s="29"/>
      <c r="C53" s="29"/>
      <c r="D53" s="29"/>
      <c r="E53" s="29"/>
      <c r="F53" s="29"/>
      <c r="G53" s="29"/>
      <c r="H53" s="29"/>
      <c r="I53" s="29"/>
      <c r="J53" s="29"/>
      <c r="K53" s="29"/>
      <c r="L53" s="29"/>
      <c r="M53" s="29"/>
      <c r="N53" s="29"/>
      <c r="O53" s="29"/>
      <c r="P53" s="29"/>
      <c r="Q53" s="926"/>
      <c r="R53" s="129"/>
    </row>
    <row r="54" spans="1:18" ht="15.95" customHeight="1" thickBot="1" x14ac:dyDescent="0.25">
      <c r="A54" s="1651" t="s">
        <v>125</v>
      </c>
      <c r="B54" s="1635"/>
      <c r="C54" s="1635"/>
      <c r="D54" s="1635"/>
      <c r="E54" s="1635"/>
      <c r="F54" s="1635"/>
      <c r="G54" s="1635"/>
      <c r="H54" s="1635"/>
      <c r="I54" s="1635"/>
      <c r="J54" s="1635"/>
      <c r="K54" s="1635"/>
      <c r="L54" s="1635"/>
      <c r="M54" s="1635"/>
      <c r="N54" s="1635"/>
      <c r="O54" s="29"/>
      <c r="P54" s="29"/>
      <c r="Q54" s="927">
        <f>Q158</f>
        <v>0</v>
      </c>
      <c r="R54" s="129"/>
    </row>
    <row r="55" spans="1:18" ht="15.95" customHeight="1" thickBot="1" x14ac:dyDescent="0.25">
      <c r="A55" s="426"/>
      <c r="B55" s="427"/>
      <c r="C55" s="427"/>
      <c r="D55" s="505"/>
      <c r="E55" s="505"/>
      <c r="F55" s="505"/>
      <c r="G55" s="505"/>
      <c r="H55" s="505"/>
      <c r="I55" s="505"/>
      <c r="J55" s="505"/>
      <c r="K55" s="505"/>
      <c r="L55" s="505"/>
      <c r="M55" s="505"/>
      <c r="N55" s="505"/>
      <c r="O55" s="453" t="s">
        <v>166</v>
      </c>
      <c r="P55" s="505"/>
      <c r="Q55" s="930">
        <f>Q160</f>
        <v>0</v>
      </c>
      <c r="R55" s="129"/>
    </row>
    <row r="56" spans="1:18" ht="15.95" customHeight="1" x14ac:dyDescent="0.2">
      <c r="A56" s="480" t="s">
        <v>132</v>
      </c>
      <c r="B56" s="481"/>
      <c r="C56" s="481"/>
      <c r="D56" s="29"/>
      <c r="E56" s="29"/>
      <c r="F56" s="29"/>
      <c r="G56" s="29"/>
      <c r="H56" s="29"/>
      <c r="I56" s="29"/>
      <c r="J56" s="29"/>
      <c r="K56" s="29"/>
      <c r="L56" s="29"/>
      <c r="M56" s="29"/>
      <c r="N56" s="29"/>
      <c r="O56" s="29"/>
      <c r="P56" s="29"/>
      <c r="Q56" s="926"/>
      <c r="R56" s="129"/>
    </row>
    <row r="57" spans="1:18" ht="9" customHeight="1" x14ac:dyDescent="0.2">
      <c r="A57" s="7"/>
      <c r="B57" s="424"/>
      <c r="C57" s="424"/>
      <c r="D57" s="29"/>
      <c r="E57" s="29"/>
      <c r="F57" s="29"/>
      <c r="G57" s="29"/>
      <c r="H57" s="29"/>
      <c r="I57" s="29"/>
      <c r="J57" s="29"/>
      <c r="K57" s="29"/>
      <c r="L57" s="29"/>
      <c r="M57" s="29"/>
      <c r="N57" s="29"/>
      <c r="O57" s="29"/>
      <c r="P57" s="29"/>
      <c r="Q57" s="926"/>
      <c r="R57" s="129"/>
    </row>
    <row r="58" spans="1:18" ht="15.95" customHeight="1" x14ac:dyDescent="0.2">
      <c r="A58" s="43" t="s">
        <v>149</v>
      </c>
      <c r="B58" s="19"/>
      <c r="C58" s="48"/>
      <c r="D58" s="29"/>
      <c r="E58" s="29"/>
      <c r="F58" s="29"/>
      <c r="G58" s="29"/>
      <c r="H58" s="29"/>
      <c r="I58" s="29"/>
      <c r="J58" s="29"/>
      <c r="K58" s="29"/>
      <c r="L58" s="29"/>
      <c r="M58" s="29"/>
      <c r="N58" s="29"/>
      <c r="O58" s="29"/>
      <c r="P58" s="29"/>
      <c r="Q58" s="926">
        <f>Q163</f>
        <v>0</v>
      </c>
      <c r="R58" s="129"/>
    </row>
    <row r="59" spans="1:18" ht="9" customHeight="1" thickBot="1" x14ac:dyDescent="0.25">
      <c r="A59" s="123"/>
      <c r="B59" s="12"/>
      <c r="C59" s="86"/>
      <c r="D59" s="505"/>
      <c r="E59" s="505"/>
      <c r="F59" s="505"/>
      <c r="G59" s="505"/>
      <c r="H59" s="505"/>
      <c r="I59" s="505"/>
      <c r="J59" s="505"/>
      <c r="K59" s="505"/>
      <c r="L59" s="505"/>
      <c r="M59" s="505"/>
      <c r="N59" s="505"/>
      <c r="O59" s="505"/>
      <c r="P59" s="505"/>
      <c r="Q59" s="927"/>
      <c r="R59" s="129"/>
    </row>
    <row r="60" spans="1:18" ht="9" customHeight="1" x14ac:dyDescent="0.2">
      <c r="A60" s="62"/>
      <c r="B60" s="63"/>
      <c r="C60" s="19"/>
      <c r="D60" s="29"/>
      <c r="E60" s="29"/>
      <c r="F60" s="29"/>
      <c r="G60" s="29"/>
      <c r="H60" s="29"/>
      <c r="I60" s="29"/>
      <c r="J60" s="29"/>
      <c r="K60" s="29"/>
      <c r="L60" s="29"/>
      <c r="M60" s="29"/>
      <c r="N60" s="29"/>
      <c r="O60" s="29"/>
      <c r="P60" s="29"/>
      <c r="Q60" s="926"/>
      <c r="R60" s="129"/>
    </row>
    <row r="61" spans="1:18" ht="15.95" customHeight="1" x14ac:dyDescent="0.2">
      <c r="A61" s="454" t="s">
        <v>198</v>
      </c>
      <c r="B61" s="63"/>
      <c r="C61" s="19"/>
      <c r="D61" s="29"/>
      <c r="E61" s="29"/>
      <c r="F61" s="29"/>
      <c r="G61" s="29"/>
      <c r="H61" s="29"/>
      <c r="I61" s="29"/>
      <c r="J61" s="29"/>
      <c r="K61" s="29"/>
      <c r="L61" s="29"/>
      <c r="M61" s="29"/>
      <c r="N61" s="29"/>
      <c r="O61" s="29"/>
      <c r="P61" s="29"/>
      <c r="Q61" s="926">
        <f>Q167</f>
        <v>0</v>
      </c>
      <c r="R61" s="129"/>
    </row>
    <row r="62" spans="1:18" ht="10.5" customHeight="1" thickBot="1" x14ac:dyDescent="0.25">
      <c r="A62" s="11"/>
      <c r="B62" s="12"/>
      <c r="C62" s="86"/>
      <c r="D62" s="505"/>
      <c r="E62" s="505"/>
      <c r="F62" s="505"/>
      <c r="G62" s="505"/>
      <c r="H62" s="505"/>
      <c r="I62" s="505"/>
      <c r="J62" s="505"/>
      <c r="K62" s="505"/>
      <c r="L62" s="505"/>
      <c r="M62" s="505"/>
      <c r="N62" s="505"/>
      <c r="O62" s="505"/>
      <c r="P62" s="505"/>
      <c r="Q62" s="927"/>
      <c r="R62" s="129"/>
    </row>
    <row r="63" spans="1:18" ht="10.5" customHeight="1" x14ac:dyDescent="0.2">
      <c r="A63" s="455"/>
      <c r="B63" s="309"/>
      <c r="C63" s="301"/>
      <c r="D63" s="420"/>
      <c r="E63" s="420"/>
      <c r="F63" s="420"/>
      <c r="G63" s="420"/>
      <c r="H63" s="420"/>
      <c r="I63" s="420"/>
      <c r="J63" s="420"/>
      <c r="K63" s="420"/>
      <c r="L63" s="420"/>
      <c r="M63" s="420"/>
      <c r="N63" s="420"/>
      <c r="O63" s="420"/>
      <c r="P63" s="420"/>
      <c r="Q63" s="931"/>
      <c r="R63" s="129"/>
    </row>
    <row r="64" spans="1:18" ht="15.75" customHeight="1" x14ac:dyDescent="0.2">
      <c r="A64" s="507" t="s">
        <v>334</v>
      </c>
      <c r="B64" s="63"/>
      <c r="C64" s="19"/>
      <c r="D64" s="29"/>
      <c r="E64" s="29"/>
      <c r="F64" s="29"/>
      <c r="G64" s="29"/>
      <c r="H64" s="29"/>
      <c r="I64" s="29"/>
      <c r="J64" s="29"/>
      <c r="K64" s="29"/>
      <c r="L64" s="29"/>
      <c r="M64" s="29"/>
      <c r="N64" s="29"/>
      <c r="O64" s="29"/>
      <c r="P64" s="29"/>
      <c r="Q64" s="926">
        <f>Q170</f>
        <v>0</v>
      </c>
      <c r="R64" s="129"/>
    </row>
    <row r="65" spans="1:19" ht="9" customHeight="1" thickBot="1" x14ac:dyDescent="0.25">
      <c r="A65" s="504"/>
      <c r="B65" s="505"/>
      <c r="C65" s="485"/>
      <c r="D65" s="505"/>
      <c r="E65" s="505"/>
      <c r="F65" s="505"/>
      <c r="G65" s="505"/>
      <c r="H65" s="505"/>
      <c r="I65" s="505"/>
      <c r="J65" s="505"/>
      <c r="K65" s="505"/>
      <c r="L65" s="505"/>
      <c r="M65" s="505"/>
      <c r="N65" s="505"/>
      <c r="O65" s="506"/>
      <c r="P65" s="505"/>
      <c r="Q65" s="932"/>
      <c r="R65" s="129"/>
      <c r="S65" s="221"/>
    </row>
    <row r="66" spans="1:19" ht="15.95" customHeight="1" thickBot="1" x14ac:dyDescent="0.25">
      <c r="A66" s="471"/>
      <c r="B66" s="472"/>
      <c r="C66" s="32"/>
      <c r="D66" s="428"/>
      <c r="E66" s="428"/>
      <c r="F66" s="428"/>
      <c r="G66" s="428"/>
      <c r="H66" s="428"/>
      <c r="I66" s="428"/>
      <c r="J66" s="428"/>
      <c r="K66" s="428"/>
      <c r="L66" s="428"/>
      <c r="M66" s="428"/>
      <c r="N66" s="428"/>
      <c r="O66" s="475" t="s">
        <v>321</v>
      </c>
      <c r="P66" s="428"/>
      <c r="Q66" s="933">
        <f>Q172</f>
        <v>0</v>
      </c>
      <c r="R66" s="129"/>
    </row>
    <row r="67" spans="1:19" ht="9.75" customHeight="1" thickTop="1" x14ac:dyDescent="0.2">
      <c r="A67" s="455"/>
      <c r="B67" s="309"/>
      <c r="C67" s="301"/>
      <c r="D67" s="29"/>
      <c r="E67" s="29"/>
      <c r="F67" s="29"/>
      <c r="G67" s="29"/>
      <c r="H67" s="29"/>
      <c r="I67" s="29"/>
      <c r="J67" s="29"/>
      <c r="K67" s="29"/>
      <c r="L67" s="29"/>
      <c r="M67" s="29"/>
      <c r="N67" s="29"/>
      <c r="O67" s="29"/>
      <c r="P67" s="29"/>
      <c r="Q67" s="926"/>
      <c r="R67" s="129"/>
    </row>
    <row r="68" spans="1:19" ht="15.95" customHeight="1" x14ac:dyDescent="0.2">
      <c r="A68" s="458" t="s">
        <v>317</v>
      </c>
      <c r="B68" s="63"/>
      <c r="C68" s="19"/>
      <c r="D68" s="29"/>
      <c r="E68" s="29"/>
      <c r="F68" s="29"/>
      <c r="G68" s="29"/>
      <c r="H68" s="29"/>
      <c r="I68" s="29"/>
      <c r="J68" s="29"/>
      <c r="K68" s="29"/>
      <c r="L68" s="29"/>
      <c r="M68" s="29"/>
      <c r="N68" s="29"/>
      <c r="O68" s="29"/>
      <c r="P68" s="29"/>
      <c r="Q68" s="926">
        <f>Q174</f>
        <v>0</v>
      </c>
      <c r="R68" s="129"/>
    </row>
    <row r="69" spans="1:19" ht="9" customHeight="1" thickBot="1" x14ac:dyDescent="0.25">
      <c r="A69" s="11"/>
      <c r="B69" s="12"/>
      <c r="C69" s="86"/>
      <c r="D69" s="505"/>
      <c r="E69" s="505"/>
      <c r="F69" s="505"/>
      <c r="G69" s="505"/>
      <c r="H69" s="505"/>
      <c r="I69" s="505"/>
      <c r="J69" s="505"/>
      <c r="K69" s="505"/>
      <c r="L69" s="505"/>
      <c r="M69" s="505"/>
      <c r="N69" s="505"/>
      <c r="O69" s="505"/>
      <c r="P69" s="505"/>
      <c r="Q69" s="927"/>
      <c r="R69" s="129"/>
    </row>
    <row r="70" spans="1:19" ht="20.25" customHeight="1" thickBot="1" x14ac:dyDescent="0.25">
      <c r="A70" s="311"/>
      <c r="B70" s="14"/>
      <c r="C70" s="14"/>
      <c r="D70" s="29"/>
      <c r="E70" s="29"/>
      <c r="F70" s="29"/>
      <c r="G70" s="29"/>
      <c r="H70" s="29"/>
      <c r="I70" s="29"/>
      <c r="J70" s="29"/>
      <c r="K70" s="29"/>
      <c r="L70" s="29"/>
      <c r="M70" s="29"/>
      <c r="N70" s="29"/>
      <c r="O70" s="475"/>
      <c r="P70" s="807" t="s">
        <v>330</v>
      </c>
      <c r="Q70" s="934">
        <f>Q176</f>
        <v>0</v>
      </c>
      <c r="R70" s="129"/>
    </row>
    <row r="71" spans="1:19" ht="20.25" customHeight="1" thickTop="1" thickBot="1" x14ac:dyDescent="0.25">
      <c r="A71" s="448"/>
      <c r="B71" s="367"/>
      <c r="C71" s="367"/>
      <c r="D71" s="371"/>
      <c r="E71" s="459"/>
      <c r="F71" s="459"/>
      <c r="G71" s="369"/>
      <c r="H71" s="370"/>
      <c r="I71" s="459"/>
      <c r="J71" s="370"/>
      <c r="K71" s="460"/>
      <c r="L71" s="370"/>
      <c r="M71" s="370"/>
      <c r="N71" s="446" t="s">
        <v>238</v>
      </c>
      <c r="O71" s="641">
        <f>'Input Data'!D26/100</f>
        <v>1</v>
      </c>
      <c r="P71" s="642" t="s">
        <v>237</v>
      </c>
      <c r="Q71" s="935">
        <f>O71*Q176</f>
        <v>0</v>
      </c>
      <c r="R71" s="129"/>
    </row>
    <row r="72" spans="1:19" ht="20.25" customHeight="1" thickTop="1" thickBot="1" x14ac:dyDescent="0.25">
      <c r="A72" s="448"/>
      <c r="B72" s="367"/>
      <c r="C72" s="367"/>
      <c r="D72" s="371"/>
      <c r="E72" s="459"/>
      <c r="F72" s="459"/>
      <c r="G72" s="369"/>
      <c r="H72" s="370"/>
      <c r="I72" s="459"/>
      <c r="J72" s="370"/>
      <c r="K72" s="460"/>
      <c r="L72" s="370"/>
      <c r="M72" s="370"/>
      <c r="N72" s="446"/>
      <c r="O72" s="1006" t="s">
        <v>422</v>
      </c>
      <c r="P72" s="642"/>
      <c r="Q72" s="1007">
        <f>'Input Data'!F10*'Input Data'!H10</f>
        <v>0</v>
      </c>
      <c r="R72" s="129"/>
    </row>
    <row r="73" spans="1:19" ht="20.25" customHeight="1" thickTop="1" thickBot="1" x14ac:dyDescent="0.25">
      <c r="A73" s="778" t="s">
        <v>130</v>
      </c>
      <c r="B73" s="779"/>
      <c r="C73" s="779"/>
      <c r="D73" s="780"/>
      <c r="E73" s="781"/>
      <c r="F73" s="781"/>
      <c r="G73" s="782"/>
      <c r="H73" s="783"/>
      <c r="I73" s="781"/>
      <c r="J73" s="783"/>
      <c r="K73" s="781"/>
      <c r="L73" s="783"/>
      <c r="M73" s="783"/>
      <c r="N73" s="784"/>
      <c r="O73" s="785"/>
      <c r="P73" s="786"/>
      <c r="Q73" s="936"/>
      <c r="R73" s="129"/>
    </row>
    <row r="74" spans="1:19" ht="23.25" customHeight="1" thickTop="1" x14ac:dyDescent="0.2">
      <c r="A74" s="82" t="s">
        <v>179</v>
      </c>
      <c r="B74" s="63"/>
      <c r="C74" s="63"/>
      <c r="D74" s="63"/>
      <c r="E74" s="63"/>
      <c r="F74" s="63"/>
      <c r="G74" s="63"/>
      <c r="H74" s="63"/>
      <c r="I74" s="63"/>
      <c r="J74" s="63"/>
      <c r="K74" s="155"/>
      <c r="L74" s="89"/>
      <c r="M74" s="63"/>
      <c r="N74" s="95"/>
      <c r="O74" s="63"/>
      <c r="P74" s="95"/>
      <c r="Q74" s="937"/>
      <c r="R74" s="129"/>
    </row>
    <row r="75" spans="1:19" ht="15.6" customHeight="1" x14ac:dyDescent="0.2">
      <c r="A75" s="16" t="s">
        <v>174</v>
      </c>
      <c r="B75" s="63"/>
      <c r="C75" s="63"/>
      <c r="D75" s="63"/>
      <c r="E75" s="63"/>
      <c r="F75" s="63"/>
      <c r="G75" s="63"/>
      <c r="H75" s="63"/>
      <c r="I75" s="63"/>
      <c r="J75" s="95" t="s">
        <v>123</v>
      </c>
      <c r="K75" s="95"/>
      <c r="L75" s="89"/>
      <c r="M75" s="90" t="s">
        <v>7</v>
      </c>
      <c r="N75" s="63"/>
      <c r="O75" s="89"/>
      <c r="P75" s="91" t="s">
        <v>117</v>
      </c>
      <c r="Q75" s="937">
        <f>IF(Q115&gt;0,0,'Time Based'!H22)</f>
        <v>0</v>
      </c>
      <c r="R75" s="129"/>
    </row>
    <row r="76" spans="1:19" ht="15.6" customHeight="1" x14ac:dyDescent="0.2">
      <c r="A76" s="16" t="s">
        <v>122</v>
      </c>
      <c r="B76" s="63"/>
      <c r="C76" s="29"/>
      <c r="D76" s="29"/>
      <c r="E76" s="36">
        <f>IF('Input Data'!$D$33="Y",0.7,1)</f>
        <v>1</v>
      </c>
      <c r="F76" s="36" t="s">
        <v>25</v>
      </c>
      <c r="G76" s="65">
        <f>IF('Input Data'!$E$36="Y",0.06,0)</f>
        <v>0</v>
      </c>
      <c r="H76" s="36" t="s">
        <v>1</v>
      </c>
      <c r="I76" s="1110">
        <f>IF('Input Data'!$F$31=1,0.05,IF('Input Data'!$F$31=2,Scales!$L$4,IF('Input Data'!$F$31=3,Scales!$L$5,IF('Input Data'!$F$31=4,Scales!$L$6,IF('Input Data'!$F$31=5,0.95,1)))))</f>
        <v>0.05</v>
      </c>
      <c r="J76" s="38" t="s">
        <v>1</v>
      </c>
      <c r="K76" s="92">
        <f>IF('Input Data'!$E$36="Y",$Q$115,0)</f>
        <v>0</v>
      </c>
      <c r="L76" s="93" t="s">
        <v>117</v>
      </c>
      <c r="M76" s="94">
        <f>IF('Input Data'!$E$36="Y",(E76*G76*I76*K76),0)</f>
        <v>0</v>
      </c>
      <c r="N76" s="63"/>
      <c r="O76" s="143" t="s">
        <v>121</v>
      </c>
      <c r="P76" s="91" t="s">
        <v>117</v>
      </c>
      <c r="Q76" s="937">
        <f>IF('Input Data'!E36="Y",IF(M76 &gt;'Time Based'!$H$38,'Time Based'!$H$38,$M$76),0)</f>
        <v>0</v>
      </c>
      <c r="R76" s="129"/>
    </row>
    <row r="77" spans="1:19" ht="15.75" customHeight="1" x14ac:dyDescent="0.2">
      <c r="A77" s="17" t="s">
        <v>213</v>
      </c>
      <c r="B77" s="372" t="s">
        <v>239</v>
      </c>
      <c r="C77" s="63"/>
      <c r="D77" s="63"/>
      <c r="E77" s="63"/>
      <c r="F77" s="63"/>
      <c r="G77" s="63"/>
      <c r="H77" s="29"/>
      <c r="I77" s="29"/>
      <c r="J77" s="95" t="s">
        <v>214</v>
      </c>
      <c r="K77" s="29"/>
      <c r="L77" s="89"/>
      <c r="M77" s="90" t="s">
        <v>7</v>
      </c>
      <c r="N77" s="63"/>
      <c r="O77" s="90" t="s">
        <v>121</v>
      </c>
      <c r="P77" s="91" t="s">
        <v>117</v>
      </c>
      <c r="Q77" s="937">
        <f>'Travelling &amp; Subsistence'!I17</f>
        <v>0</v>
      </c>
      <c r="R77" s="129"/>
    </row>
    <row r="78" spans="1:19" x14ac:dyDescent="0.2">
      <c r="A78" s="17" t="s">
        <v>215</v>
      </c>
      <c r="B78" s="63"/>
      <c r="C78" s="63"/>
      <c r="D78" s="63"/>
      <c r="E78" s="63"/>
      <c r="F78" s="63"/>
      <c r="G78" s="63"/>
      <c r="H78" s="29"/>
      <c r="I78" s="29"/>
      <c r="J78" s="95" t="s">
        <v>216</v>
      </c>
      <c r="K78" s="29"/>
      <c r="L78" s="89"/>
      <c r="M78" s="90" t="s">
        <v>7</v>
      </c>
      <c r="N78" s="63"/>
      <c r="O78" s="90" t="s">
        <v>121</v>
      </c>
      <c r="P78" s="91" t="s">
        <v>117</v>
      </c>
      <c r="Q78" s="937">
        <f>'Time Based'!H77</f>
        <v>0</v>
      </c>
      <c r="R78" s="129"/>
    </row>
    <row r="79" spans="1:19" ht="15.75" thickBot="1" x14ac:dyDescent="0.25">
      <c r="A79" s="18"/>
      <c r="B79" s="53"/>
      <c r="C79" s="53"/>
      <c r="D79" s="15"/>
      <c r="E79" s="15"/>
      <c r="F79" s="15"/>
      <c r="G79" s="15"/>
      <c r="H79" s="15"/>
      <c r="I79" s="15"/>
      <c r="J79" s="96"/>
      <c r="K79" s="97"/>
      <c r="L79" s="28"/>
      <c r="M79" s="313"/>
      <c r="N79" s="106"/>
      <c r="O79" s="809" t="s">
        <v>419</v>
      </c>
      <c r="P79" s="808"/>
      <c r="Q79" s="938">
        <f>SUM(Q75:Q78)</f>
        <v>0</v>
      </c>
      <c r="R79" s="129"/>
    </row>
    <row r="80" spans="1:19" ht="22.5" customHeight="1" thickTop="1" x14ac:dyDescent="0.2">
      <c r="A80" s="82" t="s">
        <v>180</v>
      </c>
      <c r="B80" s="63"/>
      <c r="C80" s="63"/>
      <c r="D80" s="63"/>
      <c r="E80" s="63"/>
      <c r="F80" s="63"/>
      <c r="G80" s="63"/>
      <c r="H80" s="63"/>
      <c r="I80" s="63"/>
      <c r="J80" s="63"/>
      <c r="K80" s="63"/>
      <c r="L80" s="63"/>
      <c r="M80" s="63"/>
      <c r="N80" s="63"/>
      <c r="O80" s="98"/>
      <c r="P80" s="92"/>
      <c r="Q80" s="937"/>
      <c r="R80" s="129"/>
    </row>
    <row r="81" spans="1:18" x14ac:dyDescent="0.2">
      <c r="A81" s="17" t="s">
        <v>136</v>
      </c>
      <c r="B81" s="63"/>
      <c r="C81" s="372" t="s">
        <v>239</v>
      </c>
      <c r="D81" s="63"/>
      <c r="E81" s="63"/>
      <c r="F81" s="63"/>
      <c r="G81" s="63"/>
      <c r="H81" s="63"/>
      <c r="I81" s="63"/>
      <c r="J81" s="63"/>
      <c r="K81" s="63"/>
      <c r="L81" s="63"/>
      <c r="M81" s="95"/>
      <c r="N81" s="63"/>
      <c r="O81" s="19"/>
      <c r="P81" s="19"/>
      <c r="Q81" s="939">
        <f>'Travelling &amp; Subsistence'!I60</f>
        <v>0</v>
      </c>
      <c r="R81" s="129"/>
    </row>
    <row r="82" spans="1:18" x14ac:dyDescent="0.2">
      <c r="A82" s="17" t="s">
        <v>96</v>
      </c>
      <c r="B82" s="63"/>
      <c r="C82" s="63"/>
      <c r="D82" s="63"/>
      <c r="E82" s="63"/>
      <c r="F82" s="63"/>
      <c r="G82" s="63"/>
      <c r="H82" s="63"/>
      <c r="I82" s="63"/>
      <c r="J82" s="63"/>
      <c r="K82" s="63"/>
      <c r="L82" s="63"/>
      <c r="M82" s="95"/>
      <c r="N82" s="63"/>
      <c r="O82" s="19"/>
      <c r="P82" s="19"/>
      <c r="Q82" s="939">
        <f>'Typing, Duplicating, &amp; Printing'!I59</f>
        <v>0</v>
      </c>
      <c r="R82" s="129"/>
    </row>
    <row r="83" spans="1:18" x14ac:dyDescent="0.2">
      <c r="A83" s="17" t="s">
        <v>97</v>
      </c>
      <c r="B83" s="63"/>
      <c r="C83" s="63"/>
      <c r="D83" s="63"/>
      <c r="E83" s="63"/>
      <c r="F83" s="63"/>
      <c r="G83" s="63"/>
      <c r="H83" s="63"/>
      <c r="I83" s="63"/>
      <c r="J83" s="63"/>
      <c r="K83" s="63"/>
      <c r="L83" s="63"/>
      <c r="M83" s="95"/>
      <c r="N83" s="63"/>
      <c r="O83" s="19"/>
      <c r="P83" s="19"/>
      <c r="Q83" s="939">
        <f>'Site staff &amp; Other'!H60</f>
        <v>0</v>
      </c>
      <c r="R83" s="129"/>
    </row>
    <row r="84" spans="1:18" ht="15.75" thickBot="1" x14ac:dyDescent="0.25">
      <c r="A84" s="18"/>
      <c r="B84" s="15"/>
      <c r="C84" s="15"/>
      <c r="D84" s="15"/>
      <c r="E84" s="15"/>
      <c r="F84" s="15"/>
      <c r="G84" s="15"/>
      <c r="H84" s="15"/>
      <c r="I84" s="314"/>
      <c r="J84" s="315"/>
      <c r="K84" s="316"/>
      <c r="L84" s="106"/>
      <c r="M84" s="315"/>
      <c r="N84" s="315"/>
      <c r="O84" s="801" t="s">
        <v>420</v>
      </c>
      <c r="P84" s="316"/>
      <c r="Q84" s="940">
        <f>SUM(Q81:Q83)</f>
        <v>0</v>
      </c>
      <c r="R84" s="129"/>
    </row>
    <row r="85" spans="1:18" ht="15.75" thickTop="1" x14ac:dyDescent="0.2">
      <c r="A85" s="99"/>
      <c r="B85" s="81"/>
      <c r="C85" s="63"/>
      <c r="D85" s="63"/>
      <c r="E85" s="63"/>
      <c r="F85" s="63"/>
      <c r="G85" s="63"/>
      <c r="H85" s="63"/>
      <c r="I85" s="63"/>
      <c r="J85" s="63"/>
      <c r="L85" s="368"/>
      <c r="M85" s="368"/>
      <c r="N85" s="368"/>
      <c r="O85" s="799" t="s">
        <v>412</v>
      </c>
      <c r="P85" s="368"/>
      <c r="Q85" s="941">
        <f>Q71-Q72+Q79+Q84</f>
        <v>0</v>
      </c>
      <c r="R85" s="129"/>
    </row>
    <row r="86" spans="1:18" x14ac:dyDescent="0.2">
      <c r="A86" s="17"/>
      <c r="B86" s="63"/>
      <c r="C86" s="63"/>
      <c r="D86" s="63"/>
      <c r="E86" s="63"/>
      <c r="F86" s="63"/>
      <c r="G86" s="63"/>
      <c r="H86" s="63"/>
      <c r="I86" s="19"/>
      <c r="J86" s="19"/>
      <c r="L86" s="105"/>
      <c r="M86" s="105"/>
      <c r="N86" s="317"/>
      <c r="O86" s="800" t="s">
        <v>116</v>
      </c>
      <c r="P86" s="317"/>
      <c r="Q86" s="942">
        <f>ROUND('Previous Payments'!K42,2)</f>
        <v>0</v>
      </c>
      <c r="R86" s="129"/>
    </row>
    <row r="87" spans="1:18" ht="16.5" thickBot="1" x14ac:dyDescent="0.25">
      <c r="A87" s="17"/>
      <c r="B87" s="63"/>
      <c r="C87" s="15"/>
      <c r="D87" s="63"/>
      <c r="E87" s="63"/>
      <c r="F87" s="63"/>
      <c r="G87" s="1694" t="str">
        <f>IF($Q$85&lt;$Q$86,"OVERPAID BY (Ecl Tax)",IF($Q$85&gt;$Q$86,"FEES NOW DUE EXCLUDING VAT &amp; NON TAXABLE EXPENSES",""))</f>
        <v/>
      </c>
      <c r="H87" s="1695"/>
      <c r="I87" s="1695"/>
      <c r="J87" s="1695"/>
      <c r="K87" s="1695"/>
      <c r="L87" s="1695"/>
      <c r="M87" s="1696"/>
      <c r="N87" s="1696"/>
      <c r="O87" s="1696"/>
      <c r="P87" s="101"/>
      <c r="Q87" s="943">
        <f>Q85-Q86</f>
        <v>0</v>
      </c>
      <c r="R87" s="129"/>
    </row>
    <row r="88" spans="1:18" ht="15.75" thickTop="1" x14ac:dyDescent="0.2">
      <c r="A88" s="99"/>
      <c r="B88" s="81"/>
      <c r="C88" s="63"/>
      <c r="D88" s="81" t="s">
        <v>0</v>
      </c>
      <c r="E88" s="81"/>
      <c r="F88" s="81"/>
      <c r="G88" s="81"/>
      <c r="H88" s="81"/>
      <c r="I88" s="1701">
        <v>0.14000000000000001</v>
      </c>
      <c r="J88" s="1702"/>
      <c r="K88" s="81" t="s">
        <v>22</v>
      </c>
      <c r="L88" s="19"/>
      <c r="M88" s="102">
        <f>IF('Input Data'!D17="none",0,Q87)</f>
        <v>0</v>
      </c>
      <c r="N88" s="81"/>
      <c r="O88" s="81"/>
      <c r="P88" s="81"/>
      <c r="Q88" s="944">
        <f>I88*M88</f>
        <v>0</v>
      </c>
      <c r="R88" s="129"/>
    </row>
    <row r="89" spans="1:18" ht="15.75" thickBot="1" x14ac:dyDescent="0.25">
      <c r="A89" s="17"/>
      <c r="B89" s="63"/>
      <c r="C89" s="63"/>
      <c r="D89" s="103"/>
      <c r="E89" s="103"/>
      <c r="F89" s="103"/>
      <c r="G89" s="103"/>
      <c r="H89" s="103"/>
      <c r="I89" s="95"/>
      <c r="J89" s="104"/>
      <c r="K89" s="63"/>
      <c r="L89" s="104"/>
      <c r="M89" s="19"/>
      <c r="N89" s="100"/>
      <c r="O89" s="793" t="s">
        <v>229</v>
      </c>
      <c r="P89" s="95"/>
      <c r="Q89" s="937">
        <f>'Non Taxable'!I20</f>
        <v>0</v>
      </c>
      <c r="R89" s="129"/>
    </row>
    <row r="90" spans="1:18" ht="21.75" customHeight="1" thickBot="1" x14ac:dyDescent="0.25">
      <c r="A90" s="318" t="s">
        <v>23</v>
      </c>
      <c r="B90" s="14"/>
      <c r="C90" s="14"/>
      <c r="D90" s="14"/>
      <c r="E90" s="14"/>
      <c r="F90" s="14"/>
      <c r="G90" s="14"/>
      <c r="H90" s="14"/>
      <c r="I90" s="1699" t="str">
        <f>IF($Q$85&lt;$Q$86,"AMOUNT TO BE RECOVERED (Incl VAT)",IF($Q$85&gt;$Q$86,"FEES NOW DUE INCLUDING VAT &amp; NON TAXABLE EXPENSES",""))</f>
        <v/>
      </c>
      <c r="J90" s="1700"/>
      <c r="K90" s="1700"/>
      <c r="L90" s="1700"/>
      <c r="M90" s="1700"/>
      <c r="N90" s="1700"/>
      <c r="O90" s="1700"/>
      <c r="P90" s="428"/>
      <c r="Q90" s="945">
        <f>Q87+Q88+Q89</f>
        <v>0</v>
      </c>
      <c r="R90" s="129"/>
    </row>
    <row r="91" spans="1:18" ht="9.75" customHeight="1" thickTop="1" x14ac:dyDescent="0.2">
      <c r="A91" s="737"/>
      <c r="B91" s="738"/>
      <c r="C91" s="739"/>
      <c r="D91" s="739"/>
      <c r="E91" s="740"/>
      <c r="F91" s="739"/>
      <c r="G91" s="739"/>
      <c r="H91" s="739"/>
      <c r="I91" s="741"/>
      <c r="J91" s="742"/>
      <c r="K91" s="742"/>
      <c r="L91" s="742"/>
      <c r="M91" s="742"/>
      <c r="N91" s="742"/>
      <c r="O91" s="743"/>
      <c r="P91" s="744"/>
      <c r="Q91" s="745"/>
      <c r="R91" s="129"/>
    </row>
    <row r="92" spans="1:18" ht="15.75" x14ac:dyDescent="0.2">
      <c r="A92" s="746" t="s">
        <v>402</v>
      </c>
      <c r="B92" s="747"/>
      <c r="C92" s="739"/>
      <c r="D92" s="739"/>
      <c r="E92" s="739"/>
      <c r="F92" s="739"/>
      <c r="G92" s="739"/>
      <c r="H92" s="739"/>
      <c r="I92" s="739"/>
      <c r="J92" s="742"/>
      <c r="K92" s="742"/>
      <c r="L92" s="742"/>
      <c r="M92" s="742"/>
      <c r="N92" s="742"/>
      <c r="O92" s="743"/>
      <c r="P92" s="744"/>
      <c r="Q92" s="745"/>
      <c r="R92" s="129"/>
    </row>
    <row r="93" spans="1:18" ht="15.75" x14ac:dyDescent="0.2">
      <c r="A93" s="748"/>
      <c r="B93" s="749" t="s">
        <v>337</v>
      </c>
      <c r="C93" s="750"/>
      <c r="D93" s="751"/>
      <c r="E93" s="752"/>
      <c r="F93" s="752"/>
      <c r="G93" s="752"/>
      <c r="H93" s="752"/>
      <c r="I93" s="753"/>
      <c r="J93" s="742"/>
      <c r="K93" s="753"/>
      <c r="L93" s="749" t="s">
        <v>338</v>
      </c>
      <c r="M93" s="754"/>
      <c r="N93" s="754"/>
      <c r="O93" s="743"/>
      <c r="P93" s="744"/>
      <c r="Q93" s="745"/>
      <c r="R93" s="129"/>
    </row>
    <row r="94" spans="1:18" ht="9.75" customHeight="1" thickBot="1" x14ac:dyDescent="0.25">
      <c r="A94" s="755"/>
      <c r="B94" s="756"/>
      <c r="C94" s="757"/>
      <c r="D94" s="757"/>
      <c r="E94" s="757" t="s">
        <v>339</v>
      </c>
      <c r="F94" s="757"/>
      <c r="G94" s="757"/>
      <c r="H94" s="757"/>
      <c r="I94" s="758"/>
      <c r="J94" s="759"/>
      <c r="K94" s="759"/>
      <c r="L94" s="759"/>
      <c r="M94" s="759"/>
      <c r="N94" s="759"/>
      <c r="O94" s="760"/>
      <c r="P94" s="761"/>
      <c r="Q94" s="762"/>
      <c r="R94" s="129"/>
    </row>
    <row r="95" spans="1:18" ht="15.75" thickTop="1" x14ac:dyDescent="0.2">
      <c r="A95" s="763" t="s">
        <v>340</v>
      </c>
      <c r="B95" s="738"/>
      <c r="C95" s="739"/>
      <c r="D95" s="752"/>
      <c r="E95" s="752"/>
      <c r="F95" s="739"/>
      <c r="G95" s="752"/>
      <c r="H95" s="752"/>
      <c r="I95" s="740"/>
      <c r="J95" s="764"/>
      <c r="K95" s="739"/>
      <c r="L95" s="764"/>
      <c r="M95" s="739"/>
      <c r="N95" s="764"/>
      <c r="O95" s="739"/>
      <c r="P95" s="764"/>
      <c r="Q95" s="765"/>
      <c r="R95" s="129"/>
    </row>
    <row r="96" spans="1:18" x14ac:dyDescent="0.2">
      <c r="A96" s="766" t="s">
        <v>341</v>
      </c>
      <c r="B96" s="747"/>
      <c r="C96" s="739"/>
      <c r="D96" s="752"/>
      <c r="E96" s="752"/>
      <c r="F96" s="739"/>
      <c r="G96" s="752"/>
      <c r="H96" s="752"/>
      <c r="I96" s="739"/>
      <c r="J96" s="764"/>
      <c r="K96" s="739"/>
      <c r="L96" s="764"/>
      <c r="M96" s="739"/>
      <c r="N96" s="764"/>
      <c r="O96" s="739"/>
      <c r="P96" s="764"/>
      <c r="Q96" s="767"/>
      <c r="R96" s="129"/>
    </row>
    <row r="97" spans="1:19" ht="15.75" x14ac:dyDescent="0.2">
      <c r="A97" s="748"/>
      <c r="B97" s="749" t="s">
        <v>342</v>
      </c>
      <c r="C97" s="750"/>
      <c r="D97" s="768"/>
      <c r="E97" s="768"/>
      <c r="F97" s="751"/>
      <c r="G97" s="768"/>
      <c r="H97" s="768"/>
      <c r="I97" s="754"/>
      <c r="J97" s="769"/>
      <c r="K97" s="752"/>
      <c r="L97" s="749" t="s">
        <v>343</v>
      </c>
      <c r="M97" s="754"/>
      <c r="N97" s="770"/>
      <c r="O97" s="754"/>
      <c r="P97" s="764"/>
      <c r="Q97" s="771"/>
      <c r="R97" s="129"/>
    </row>
    <row r="98" spans="1:19" ht="8.25" customHeight="1" x14ac:dyDescent="0.2">
      <c r="A98" s="772"/>
      <c r="B98" s="773"/>
      <c r="C98" s="774"/>
      <c r="D98" s="752"/>
      <c r="E98" s="752"/>
      <c r="F98" s="739"/>
      <c r="G98" s="752"/>
      <c r="H98" s="752"/>
      <c r="I98" s="753"/>
      <c r="J98" s="769"/>
      <c r="K98" s="749"/>
      <c r="L98" s="764"/>
      <c r="M98" s="753"/>
      <c r="N98" s="775"/>
      <c r="O98" s="753"/>
      <c r="P98" s="764"/>
      <c r="Q98" s="771"/>
      <c r="R98" s="129"/>
    </row>
    <row r="99" spans="1:19" x14ac:dyDescent="0.2">
      <c r="A99" s="812"/>
      <c r="B99" s="813" t="s">
        <v>338</v>
      </c>
      <c r="C99" s="751"/>
      <c r="D99" s="768"/>
      <c r="E99" s="768"/>
      <c r="F99" s="751"/>
      <c r="G99" s="768"/>
      <c r="H99" s="768"/>
      <c r="I99" s="751"/>
      <c r="J99" s="814"/>
      <c r="K99" s="813"/>
      <c r="L99" s="813" t="s">
        <v>338</v>
      </c>
      <c r="M99" s="751"/>
      <c r="N99" s="815"/>
      <c r="O99" s="751"/>
      <c r="P99" s="814"/>
      <c r="Q99" s="816"/>
      <c r="R99" s="129"/>
      <c r="S99" s="221"/>
    </row>
    <row r="100" spans="1:19" x14ac:dyDescent="0.2">
      <c r="A100" s="811" t="s">
        <v>421</v>
      </c>
      <c r="B100" s="1703"/>
      <c r="C100" s="1704"/>
      <c r="D100" s="1704"/>
      <c r="E100" s="1704"/>
      <c r="F100" s="1704"/>
      <c r="G100" s="1704"/>
      <c r="H100" s="1704"/>
      <c r="I100" s="1704"/>
      <c r="J100" s="1704"/>
      <c r="K100" s="1704"/>
      <c r="L100" s="1704"/>
      <c r="M100" s="1704"/>
      <c r="N100" s="1704"/>
      <c r="O100" s="1704"/>
      <c r="P100" s="1704"/>
      <c r="Q100" s="1705"/>
      <c r="R100" s="129"/>
      <c r="S100" s="221"/>
    </row>
    <row r="101" spans="1:19" ht="15.75" thickBot="1" x14ac:dyDescent="0.25">
      <c r="A101" s="776"/>
      <c r="B101" s="1706"/>
      <c r="C101" s="1706"/>
      <c r="D101" s="1706"/>
      <c r="E101" s="1706"/>
      <c r="F101" s="1706"/>
      <c r="G101" s="1706"/>
      <c r="H101" s="1706"/>
      <c r="I101" s="1706"/>
      <c r="J101" s="1706"/>
      <c r="K101" s="1706"/>
      <c r="L101" s="1706"/>
      <c r="M101" s="1706"/>
      <c r="N101" s="1706"/>
      <c r="O101" s="1706"/>
      <c r="P101" s="1706"/>
      <c r="Q101" s="1707"/>
      <c r="R101" s="129"/>
      <c r="S101" s="221"/>
    </row>
    <row r="102" spans="1:19" ht="16.5" thickTop="1" x14ac:dyDescent="0.2">
      <c r="A102" s="574" t="s">
        <v>340</v>
      </c>
      <c r="B102" s="578"/>
      <c r="C102" s="572"/>
      <c r="D102" s="29"/>
      <c r="E102" s="29"/>
      <c r="F102" s="572"/>
      <c r="G102" s="29"/>
      <c r="H102" s="29"/>
      <c r="I102" s="572"/>
      <c r="J102" s="29"/>
      <c r="K102" s="578"/>
      <c r="L102" s="29"/>
      <c r="M102" s="572"/>
      <c r="N102" s="576"/>
      <c r="O102" s="572"/>
      <c r="P102" s="156"/>
      <c r="Q102" s="575"/>
      <c r="R102" s="129"/>
    </row>
    <row r="103" spans="1:19" ht="15.75" x14ac:dyDescent="0.2">
      <c r="A103" s="579" t="s">
        <v>344</v>
      </c>
      <c r="B103" s="580" t="s">
        <v>345</v>
      </c>
      <c r="C103" s="573"/>
      <c r="D103" s="577"/>
      <c r="E103" s="577"/>
      <c r="F103" s="573"/>
      <c r="G103" s="577"/>
      <c r="H103" s="577"/>
      <c r="I103" s="573"/>
      <c r="J103" s="577"/>
      <c r="K103" s="573"/>
      <c r="L103" s="577"/>
      <c r="M103" s="573"/>
      <c r="N103" s="581"/>
      <c r="O103" s="573"/>
      <c r="P103" s="577"/>
      <c r="Q103" s="582"/>
      <c r="R103" s="129"/>
      <c r="S103" s="221"/>
    </row>
    <row r="104" spans="1:19" ht="25.5" customHeight="1" x14ac:dyDescent="0.2">
      <c r="A104" s="583" t="s">
        <v>346</v>
      </c>
      <c r="B104" s="584" t="s">
        <v>347</v>
      </c>
      <c r="C104" s="1637" t="s">
        <v>348</v>
      </c>
      <c r="D104" s="1638"/>
      <c r="E104" s="1638"/>
      <c r="F104" s="1637" t="s">
        <v>349</v>
      </c>
      <c r="G104" s="1638"/>
      <c r="H104" s="1638"/>
      <c r="I104" s="1637" t="s">
        <v>350</v>
      </c>
      <c r="J104" s="1638"/>
      <c r="K104" s="1637" t="s">
        <v>351</v>
      </c>
      <c r="L104" s="1638"/>
      <c r="M104" s="1637" t="s">
        <v>352</v>
      </c>
      <c r="N104" s="1638"/>
      <c r="O104" s="1637" t="s">
        <v>353</v>
      </c>
      <c r="P104" s="1638"/>
      <c r="Q104" s="585" t="s">
        <v>354</v>
      </c>
      <c r="R104" s="129"/>
      <c r="S104" s="221"/>
    </row>
    <row r="105" spans="1:19" x14ac:dyDescent="0.2">
      <c r="A105" s="586" t="s">
        <v>355</v>
      </c>
      <c r="B105" s="802">
        <f>'Previous Payments'!M42-C105-F105-I105-K105-O105</f>
        <v>0</v>
      </c>
      <c r="C105" s="1621">
        <f>'Time Based'!H78</f>
        <v>0</v>
      </c>
      <c r="D105" s="1622"/>
      <c r="E105" s="1622"/>
      <c r="F105" s="1621">
        <f>'Travelling &amp; Subsistence'!I61</f>
        <v>0</v>
      </c>
      <c r="G105" s="1622"/>
      <c r="H105" s="1622"/>
      <c r="I105" s="1621">
        <f>'Typing, Duplicating, &amp; Printing'!I60</f>
        <v>0</v>
      </c>
      <c r="J105" s="1622"/>
      <c r="K105" s="1621">
        <f>'Site staff &amp; Other'!H61</f>
        <v>0</v>
      </c>
      <c r="L105" s="1622"/>
      <c r="M105" s="1621">
        <f>'Previous Payments'!I42</f>
        <v>0</v>
      </c>
      <c r="N105" s="1622"/>
      <c r="O105" s="1621">
        <f>'Non Taxable'!I19</f>
        <v>0</v>
      </c>
      <c r="P105" s="1622"/>
      <c r="Q105" s="588">
        <f>SUM(B105:O105)</f>
        <v>0</v>
      </c>
      <c r="R105" s="129"/>
    </row>
    <row r="106" spans="1:19" x14ac:dyDescent="0.2">
      <c r="A106" s="586" t="s">
        <v>356</v>
      </c>
      <c r="B106" s="587">
        <f>Q71-Q72-Q86</f>
        <v>0</v>
      </c>
      <c r="C106" s="1623">
        <f>Q79-C105</f>
        <v>0</v>
      </c>
      <c r="D106" s="1636"/>
      <c r="E106" s="1624"/>
      <c r="F106" s="1623">
        <f>Q81-F105</f>
        <v>0</v>
      </c>
      <c r="G106" s="1636"/>
      <c r="H106" s="1624"/>
      <c r="I106" s="1623">
        <f>Q82-I105</f>
        <v>0</v>
      </c>
      <c r="J106" s="1624"/>
      <c r="K106" s="1623">
        <f>Q83-K105</f>
        <v>0</v>
      </c>
      <c r="L106" s="1624"/>
      <c r="M106" s="1623">
        <f>Q88</f>
        <v>0</v>
      </c>
      <c r="N106" s="1624"/>
      <c r="O106" s="1623">
        <f>Q89</f>
        <v>0</v>
      </c>
      <c r="P106" s="1624"/>
      <c r="Q106" s="588">
        <f>SUM(B106:O106)</f>
        <v>0</v>
      </c>
      <c r="R106" s="129"/>
      <c r="S106" s="221"/>
    </row>
    <row r="107" spans="1:19" x14ac:dyDescent="0.2">
      <c r="A107" s="586" t="s">
        <v>357</v>
      </c>
      <c r="B107" s="587">
        <f>B105+B106</f>
        <v>0</v>
      </c>
      <c r="C107" s="1623">
        <f>C105+C106</f>
        <v>0</v>
      </c>
      <c r="D107" s="1625"/>
      <c r="E107" s="1626"/>
      <c r="F107" s="1623">
        <f>F105+F106</f>
        <v>0</v>
      </c>
      <c r="G107" s="1625"/>
      <c r="H107" s="1626"/>
      <c r="I107" s="1623">
        <f>I105+I106</f>
        <v>0</v>
      </c>
      <c r="J107" s="1626"/>
      <c r="K107" s="1623">
        <f>K105+K106</f>
        <v>0</v>
      </c>
      <c r="L107" s="1626"/>
      <c r="M107" s="1623">
        <f>M105+M106</f>
        <v>0</v>
      </c>
      <c r="N107" s="1626"/>
      <c r="O107" s="1621">
        <f>O105+O106</f>
        <v>0</v>
      </c>
      <c r="P107" s="1622"/>
      <c r="Q107" s="588">
        <f>SUM(B107:O107)</f>
        <v>0</v>
      </c>
      <c r="R107" s="129"/>
      <c r="S107" s="221"/>
    </row>
    <row r="108" spans="1:19" ht="22.5" customHeight="1" thickBot="1" x14ac:dyDescent="0.25">
      <c r="A108" s="790" t="s">
        <v>344</v>
      </c>
      <c r="B108" s="791"/>
      <c r="C108" s="1630"/>
      <c r="D108" s="1631"/>
      <c r="E108" s="1631"/>
      <c r="F108" s="1632"/>
      <c r="G108" s="1633"/>
      <c r="H108" s="1628"/>
      <c r="I108" s="1627"/>
      <c r="J108" s="1628"/>
      <c r="K108" s="1627"/>
      <c r="L108" s="1628"/>
      <c r="M108" s="1627"/>
      <c r="N108" s="1628"/>
      <c r="O108" s="1627"/>
      <c r="P108" s="1629"/>
      <c r="Q108" s="792">
        <f>SUM(B108:O108)</f>
        <v>0</v>
      </c>
      <c r="R108" s="129"/>
    </row>
    <row r="109" spans="1:19" ht="20.25" thickTop="1" thickBot="1" x14ac:dyDescent="0.25">
      <c r="A109" s="787" t="s">
        <v>410</v>
      </c>
      <c r="B109" s="788"/>
      <c r="C109" s="788"/>
      <c r="D109" s="788"/>
      <c r="E109" s="788"/>
      <c r="F109" s="788"/>
      <c r="G109" s="788"/>
      <c r="H109" s="788"/>
      <c r="I109" s="788"/>
      <c r="J109" s="788"/>
      <c r="K109" s="788"/>
      <c r="L109" s="788"/>
      <c r="M109" s="788"/>
      <c r="N109" s="788"/>
      <c r="O109" s="788"/>
      <c r="P109" s="788"/>
      <c r="Q109" s="789"/>
    </row>
    <row r="110" spans="1:19" ht="21" thickTop="1" x14ac:dyDescent="0.2">
      <c r="A110" s="689" t="s">
        <v>328</v>
      </c>
      <c r="B110" s="551"/>
      <c r="C110" s="551"/>
      <c r="D110" s="551"/>
      <c r="E110" s="551"/>
      <c r="F110" s="551"/>
      <c r="G110" s="551"/>
      <c r="H110" s="551"/>
      <c r="I110" s="551"/>
      <c r="J110" s="551"/>
      <c r="K110" s="551"/>
      <c r="L110" s="551"/>
      <c r="M110" s="551"/>
      <c r="N110" s="551"/>
      <c r="O110" s="551"/>
      <c r="P110" s="551"/>
      <c r="Q110" s="688"/>
    </row>
    <row r="111" spans="1:19" ht="18" x14ac:dyDescent="0.2">
      <c r="A111" s="690" t="s">
        <v>27</v>
      </c>
      <c r="B111" s="29"/>
      <c r="C111" s="29"/>
      <c r="D111" s="29"/>
      <c r="E111" s="29"/>
      <c r="F111" s="29"/>
      <c r="G111" s="29"/>
      <c r="H111" s="29"/>
      <c r="I111" s="29"/>
      <c r="J111" s="29"/>
      <c r="K111" s="29"/>
      <c r="L111" s="29"/>
      <c r="M111" s="29"/>
      <c r="N111" s="29"/>
      <c r="O111" s="29"/>
      <c r="P111" s="29"/>
      <c r="Q111" s="429"/>
    </row>
    <row r="112" spans="1:19" ht="18" x14ac:dyDescent="0.2">
      <c r="A112" s="136" t="s">
        <v>327</v>
      </c>
      <c r="B112" s="19"/>
      <c r="C112" s="20"/>
      <c r="D112" s="36"/>
      <c r="E112" s="36"/>
      <c r="F112" s="36"/>
      <c r="G112" s="36"/>
      <c r="H112" s="36"/>
      <c r="I112" s="37"/>
      <c r="J112" s="38"/>
      <c r="K112" s="25">
        <f>IF('Input Data'!E9="E",IF('Input Data'!$E$20=1,VLOOKUP($Q$19,SCALE_2010SE1,3)),0)</f>
        <v>0</v>
      </c>
      <c r="L112" s="50" t="s">
        <v>120</v>
      </c>
      <c r="M112" s="39">
        <f>IF('Input Data'!E9="e",IF('Input Data'!$E$20=1,VLOOKUP($Q$19,SCALE_2010SE1,4)),0)</f>
        <v>0.125</v>
      </c>
      <c r="N112" s="40" t="s">
        <v>1</v>
      </c>
      <c r="O112" s="41">
        <f>IF('Input Data'!E9="e",($Q$19-(IF('Input Data'!$E$20=1,VLOOKUP($Q$19,SCALE_2010SE1,1)))),Q19)</f>
        <v>0</v>
      </c>
      <c r="P112" s="42" t="s">
        <v>3</v>
      </c>
      <c r="Q112" s="947">
        <f>IF('Input Data'!$H$48&gt;'Input Data'!$H$36,(K112+M112*O112),0)</f>
        <v>0</v>
      </c>
    </row>
    <row r="113" spans="1:17" ht="18" x14ac:dyDescent="0.2">
      <c r="A113" s="43"/>
      <c r="B113" s="19"/>
      <c r="C113" s="20"/>
      <c r="D113" s="44"/>
      <c r="E113" s="44"/>
      <c r="F113" s="44"/>
      <c r="G113" s="44"/>
      <c r="H113" s="44"/>
      <c r="I113" s="20"/>
      <c r="J113" s="20"/>
      <c r="K113" s="25"/>
      <c r="L113" s="46"/>
      <c r="M113" s="47"/>
      <c r="N113" s="40"/>
      <c r="O113" s="25"/>
      <c r="P113" s="25"/>
      <c r="Q113" s="948"/>
    </row>
    <row r="114" spans="1:17" ht="27.75" customHeight="1" x14ac:dyDescent="0.2">
      <c r="A114" s="1683" t="s">
        <v>326</v>
      </c>
      <c r="B114" s="1687"/>
      <c r="C114" s="1687"/>
      <c r="D114" s="1687"/>
      <c r="E114" s="1685"/>
      <c r="F114" s="1685"/>
      <c r="G114" s="1685"/>
      <c r="H114" s="1685"/>
      <c r="I114" s="1685"/>
      <c r="J114" s="49"/>
      <c r="K114" s="25">
        <f>IF('Input Data'!E9="E",IF('Input Data'!$E$20=1,VLOOKUP($K$20,SCALE_2010SE2,3)),0)</f>
        <v>0</v>
      </c>
      <c r="L114" s="50" t="s">
        <v>120</v>
      </c>
      <c r="M114" s="39">
        <f>IF('Input Data'!E9="e",IF('Input Data'!$E$20=1,VLOOKUP($K$20,SCALE_2010SE2,4)),0)</f>
        <v>0.05</v>
      </c>
      <c r="N114" s="40" t="s">
        <v>25</v>
      </c>
      <c r="O114" s="41">
        <f>IF('Input Data'!E9="e",($K$20-(IF('Input Data'!$E$20=1,VLOOKUP($K$20,SCALE_2010SE1,1)))),K20)</f>
        <v>0</v>
      </c>
      <c r="P114" s="42" t="s">
        <v>3</v>
      </c>
      <c r="Q114" s="947">
        <f>IF('Input Data'!$H$51&gt;0,(K114+M114*O114),0)</f>
        <v>0</v>
      </c>
    </row>
    <row r="115" spans="1:17" ht="18.75" thickBot="1" x14ac:dyDescent="0.25">
      <c r="A115" s="10"/>
      <c r="B115" s="402"/>
      <c r="C115" s="402"/>
      <c r="D115" s="402"/>
      <c r="E115" s="402"/>
      <c r="F115" s="402"/>
      <c r="G115" s="402"/>
      <c r="H115" s="402"/>
      <c r="I115" s="48"/>
      <c r="J115" s="49"/>
      <c r="K115" s="25"/>
      <c r="L115" s="50"/>
      <c r="M115" s="29"/>
      <c r="N115" s="51"/>
      <c r="O115" s="805" t="s">
        <v>144</v>
      </c>
      <c r="P115" s="42"/>
      <c r="Q115" s="949">
        <f>SUM(Q112:Q114)</f>
        <v>0</v>
      </c>
    </row>
    <row r="116" spans="1:17" ht="9" customHeight="1" thickTop="1" thickBot="1" x14ac:dyDescent="0.25">
      <c r="A116" s="43"/>
      <c r="B116" s="19"/>
      <c r="C116" s="20"/>
      <c r="D116" s="44"/>
      <c r="E116" s="44"/>
      <c r="F116" s="44"/>
      <c r="G116" s="44"/>
      <c r="H116" s="44"/>
      <c r="I116" s="20"/>
      <c r="J116" s="20"/>
      <c r="K116" s="88"/>
      <c r="L116" s="25"/>
      <c r="M116" s="47"/>
      <c r="N116" s="40"/>
      <c r="O116" s="25"/>
      <c r="P116" s="25"/>
      <c r="Q116" s="947"/>
    </row>
    <row r="117" spans="1:17" x14ac:dyDescent="0.2">
      <c r="A117" s="1688" t="s">
        <v>175</v>
      </c>
      <c r="B117" s="1689"/>
      <c r="C117" s="1689"/>
      <c r="D117" s="301"/>
      <c r="E117" s="301"/>
      <c r="F117" s="301"/>
      <c r="G117" s="301"/>
      <c r="H117" s="301"/>
      <c r="I117" s="420"/>
      <c r="J117" s="303"/>
      <c r="K117" s="1046">
        <f>IF('Input Data'!$F$31=1,0.05,IF('Input Data'!$F$31=2,Scales!$L$4,IF('Input Data'!$F$31=3,Scales!$L$5,IF('Input Data'!$F$31=4,Scales!$L$6,0.7))))</f>
        <v>0.05</v>
      </c>
      <c r="L117" s="305" t="s">
        <v>2</v>
      </c>
      <c r="M117" s="464">
        <f>'Input Data'!$H$39</f>
        <v>0</v>
      </c>
      <c r="N117" s="306" t="s">
        <v>25</v>
      </c>
      <c r="O117" s="78">
        <f>IF('Input Data'!$H$39&gt;0,$Q$112,0)</f>
        <v>0</v>
      </c>
      <c r="P117" s="307"/>
      <c r="Q117" s="950">
        <f>IF('Input Data'!$H$39&gt;0,IF('Input Data'!$D$33="N",(K117*M117/M118*O117),0),0)</f>
        <v>0</v>
      </c>
    </row>
    <row r="118" spans="1:17" x14ac:dyDescent="0.2">
      <c r="A118" s="1690"/>
      <c r="B118" s="1685"/>
      <c r="C118" s="1685"/>
      <c r="D118" s="19"/>
      <c r="E118" s="19"/>
      <c r="F118" s="19"/>
      <c r="G118" s="19"/>
      <c r="H118" s="19"/>
      <c r="I118" s="61"/>
      <c r="J118" s="44"/>
      <c r="K118" s="1046"/>
      <c r="L118" s="25"/>
      <c r="M118" s="298">
        <f>IF('Input Data'!$H$39&gt;0,'Input Data'!$H$48,0)</f>
        <v>0</v>
      </c>
      <c r="N118" s="40"/>
      <c r="O118" s="25"/>
      <c r="P118" s="45"/>
      <c r="Q118" s="951"/>
    </row>
    <row r="119" spans="1:17" x14ac:dyDescent="0.2">
      <c r="A119" s="62"/>
      <c r="B119" s="63"/>
      <c r="C119" s="19"/>
      <c r="D119" s="19"/>
      <c r="E119" s="19"/>
      <c r="F119" s="19"/>
      <c r="G119" s="19"/>
      <c r="H119" s="19"/>
      <c r="I119" s="64"/>
      <c r="J119" s="49"/>
      <c r="K119" s="1046"/>
      <c r="L119" s="66"/>
      <c r="M119" s="66"/>
      <c r="N119" s="67"/>
      <c r="O119" s="66"/>
      <c r="P119" s="66"/>
      <c r="Q119" s="952"/>
    </row>
    <row r="120" spans="1:17" x14ac:dyDescent="0.2">
      <c r="A120" s="1679" t="s">
        <v>131</v>
      </c>
      <c r="B120" s="1680"/>
      <c r="C120" s="1680"/>
      <c r="D120" s="1680"/>
      <c r="E120" s="9"/>
      <c r="F120" s="9"/>
      <c r="G120" s="9"/>
      <c r="H120" s="9"/>
      <c r="I120" s="64">
        <f>IF('Input Data'!H40&gt;0,0.25,0)</f>
        <v>0</v>
      </c>
      <c r="J120" s="36" t="s">
        <v>1</v>
      </c>
      <c r="K120" s="1046">
        <f>IF('Input Data'!$F$31=1,0.05,IF('Input Data'!$F$31=2,Scales!$L$4,IF('Input Data'!$F$31=3,Scales!$L$5,IF('Input Data'!$F$31=4,Scales!$L$6,0.7))))</f>
        <v>0.05</v>
      </c>
      <c r="L120" s="42" t="s">
        <v>2</v>
      </c>
      <c r="M120" s="25">
        <f>'Input Data'!$H$40</f>
        <v>0</v>
      </c>
      <c r="N120" s="40" t="s">
        <v>25</v>
      </c>
      <c r="O120" s="25">
        <f>IF('Input Data'!$H$40&gt;0,$Q$112,0)</f>
        <v>0</v>
      </c>
      <c r="P120" s="66"/>
      <c r="Q120" s="951">
        <f>IF('Input Data'!$H$40&gt;0,IF('Input Data'!$D$33="N",(I120*K120*M120/M121*O120),0),0)</f>
        <v>0</v>
      </c>
    </row>
    <row r="121" spans="1:17" x14ac:dyDescent="0.2">
      <c r="A121" s="1682"/>
      <c r="B121" s="1681"/>
      <c r="C121" s="1681"/>
      <c r="D121" s="1681"/>
      <c r="E121" s="4"/>
      <c r="F121" s="4"/>
      <c r="G121" s="4"/>
      <c r="H121" s="4"/>
      <c r="I121" s="64"/>
      <c r="J121" s="49"/>
      <c r="K121" s="1046"/>
      <c r="L121" s="66"/>
      <c r="M121" s="299">
        <f>IF('Input Data'!$H$40&gt;0,'Input Data'!$H$48,0)</f>
        <v>0</v>
      </c>
      <c r="N121" s="67"/>
      <c r="O121" s="66"/>
      <c r="P121" s="66"/>
      <c r="Q121" s="952"/>
    </row>
    <row r="122" spans="1:17" x14ac:dyDescent="0.2">
      <c r="A122" s="5"/>
      <c r="B122" s="4"/>
      <c r="C122" s="4"/>
      <c r="D122" s="4"/>
      <c r="E122" s="4"/>
      <c r="F122" s="4"/>
      <c r="G122" s="4"/>
      <c r="H122" s="4"/>
      <c r="I122" s="64"/>
      <c r="J122" s="49"/>
      <c r="K122" s="1046"/>
      <c r="L122" s="66"/>
      <c r="M122" s="66"/>
      <c r="N122" s="67"/>
      <c r="O122" s="66"/>
      <c r="P122" s="66"/>
      <c r="Q122" s="952"/>
    </row>
    <row r="123" spans="1:17" x14ac:dyDescent="0.2">
      <c r="A123" s="1683" t="s">
        <v>176</v>
      </c>
      <c r="B123" s="1684"/>
      <c r="C123" s="1685"/>
      <c r="D123" s="1685"/>
      <c r="E123" s="403"/>
      <c r="F123" s="403"/>
      <c r="G123" s="403"/>
      <c r="H123" s="403"/>
      <c r="I123" s="64">
        <f>IF('Input Data'!$H$41&gt;0,1.25,0)</f>
        <v>0</v>
      </c>
      <c r="J123" s="36" t="s">
        <v>1</v>
      </c>
      <c r="K123" s="1046">
        <f>IF('Input Data'!$F$31=1,0.05,IF('Input Data'!$F$31=2,Scales!$L$4,IF('Input Data'!$F$31=3,Scales!$L$5,IF('Input Data'!$F$31=4,Scales!$L$6,0.7))))</f>
        <v>0.05</v>
      </c>
      <c r="L123" s="42" t="s">
        <v>2</v>
      </c>
      <c r="M123" s="25">
        <f>'Input Data'!$H$41</f>
        <v>0</v>
      </c>
      <c r="N123" s="40" t="s">
        <v>25</v>
      </c>
      <c r="O123" s="25">
        <f>IF('Input Data'!$H$41&gt;0,$Q$112,0)</f>
        <v>0</v>
      </c>
      <c r="P123" s="25"/>
      <c r="Q123" s="951">
        <f>IF('Input Data'!$H$41&gt;0,IF('Input Data'!$D$33="N",(I123*K123*M123/M124*O123),0),0)</f>
        <v>0</v>
      </c>
    </row>
    <row r="124" spans="1:17" x14ac:dyDescent="0.2">
      <c r="A124" s="1686"/>
      <c r="B124" s="1635"/>
      <c r="C124" s="1635"/>
      <c r="D124" s="1635"/>
      <c r="E124" s="19"/>
      <c r="F124" s="19"/>
      <c r="G124" s="19"/>
      <c r="H124" s="19"/>
      <c r="I124" s="64"/>
      <c r="J124" s="49"/>
      <c r="K124" s="1046"/>
      <c r="L124" s="66"/>
      <c r="M124" s="299">
        <f>IF('Input Data'!$H$41&gt;0,'Input Data'!$H$48,0)</f>
        <v>0</v>
      </c>
      <c r="N124" s="67"/>
      <c r="O124" s="66"/>
      <c r="P124" s="66"/>
      <c r="Q124" s="952"/>
    </row>
    <row r="125" spans="1:17" x14ac:dyDescent="0.2">
      <c r="A125" s="62"/>
      <c r="B125" s="63"/>
      <c r="C125" s="19"/>
      <c r="D125" s="19"/>
      <c r="E125" s="19"/>
      <c r="F125" s="19"/>
      <c r="G125" s="19"/>
      <c r="H125" s="19"/>
      <c r="I125" s="64"/>
      <c r="J125" s="49"/>
      <c r="K125" s="1046"/>
      <c r="L125" s="66"/>
      <c r="M125" s="66"/>
      <c r="N125" s="67"/>
      <c r="O125" s="66"/>
      <c r="P125" s="66"/>
      <c r="Q125" s="952"/>
    </row>
    <row r="126" spans="1:17" x14ac:dyDescent="0.2">
      <c r="A126" s="1683" t="s">
        <v>177</v>
      </c>
      <c r="B126" s="1684"/>
      <c r="C126" s="1685"/>
      <c r="D126" s="1685"/>
      <c r="E126" s="1635"/>
      <c r="F126" s="1635"/>
      <c r="G126" s="403"/>
      <c r="H126" s="403"/>
      <c r="I126" s="68">
        <f>IF('Input Data'!$H$42&gt;0,0.33,0)</f>
        <v>0</v>
      </c>
      <c r="J126" s="36" t="s">
        <v>1</v>
      </c>
      <c r="K126" s="1046">
        <f>IF('Input Data'!$F$31=1,0.05,IF('Input Data'!$F$31=2,Scales!$L$4,IF('Input Data'!$F$31=3,Scales!$L$5,IF('Input Data'!$F$31=4,Scales!$L$6,0.7))))</f>
        <v>0.05</v>
      </c>
      <c r="L126" s="42" t="s">
        <v>2</v>
      </c>
      <c r="M126" s="25">
        <f>'Input Data'!$H$42</f>
        <v>0</v>
      </c>
      <c r="N126" s="40" t="s">
        <v>25</v>
      </c>
      <c r="O126" s="25">
        <f>IF('Input Data'!$H$42&gt;0,$Q$112,0)</f>
        <v>0</v>
      </c>
      <c r="P126" s="25"/>
      <c r="Q126" s="951">
        <f>IF('Input Data'!$H$42&gt;0,IF('Input Data'!$D$33="N",(I126*K126*M126/M127*O126),0),0)</f>
        <v>0</v>
      </c>
    </row>
    <row r="127" spans="1:17" x14ac:dyDescent="0.2">
      <c r="A127" s="1686"/>
      <c r="B127" s="1635"/>
      <c r="C127" s="1635"/>
      <c r="D127" s="1635"/>
      <c r="E127" s="1635"/>
      <c r="F127" s="1635"/>
      <c r="G127" s="19"/>
      <c r="H127" s="19"/>
      <c r="I127" s="64"/>
      <c r="J127" s="49"/>
      <c r="K127" s="1046"/>
      <c r="L127" s="42"/>
      <c r="M127" s="300">
        <f>IF('Input Data'!$H$42&gt;0,'Input Data'!$H$48,0)</f>
        <v>0</v>
      </c>
      <c r="N127" s="67"/>
      <c r="O127" s="69"/>
      <c r="P127" s="66"/>
      <c r="Q127" s="952"/>
    </row>
    <row r="128" spans="1:17" x14ac:dyDescent="0.2">
      <c r="A128" s="422"/>
      <c r="B128" s="29"/>
      <c r="C128" s="29"/>
      <c r="D128" s="29"/>
      <c r="E128" s="29"/>
      <c r="F128" s="29"/>
      <c r="G128" s="29"/>
      <c r="H128" s="29"/>
      <c r="I128" s="29"/>
      <c r="J128" s="29"/>
      <c r="K128" s="1047"/>
      <c r="L128" s="29"/>
      <c r="M128" s="29"/>
      <c r="N128" s="29"/>
      <c r="O128" s="29"/>
      <c r="P128" s="29"/>
      <c r="Q128" s="953"/>
    </row>
    <row r="129" spans="1:17" x14ac:dyDescent="0.2">
      <c r="A129" s="1679" t="s">
        <v>146</v>
      </c>
      <c r="B129" s="1680"/>
      <c r="C129" s="1680"/>
      <c r="D129" s="1680"/>
      <c r="E129" s="1681"/>
      <c r="F129" s="423"/>
      <c r="G129" s="64">
        <f>IF('Input Data'!$H$43&gt;0,0.33,0)</f>
        <v>0</v>
      </c>
      <c r="H129" s="132" t="s">
        <v>1</v>
      </c>
      <c r="I129" s="64">
        <f>IF('Input Data'!$H$43&gt;0,1.25,0)</f>
        <v>0</v>
      </c>
      <c r="J129" s="36" t="s">
        <v>1</v>
      </c>
      <c r="K129" s="1046">
        <f>IF('Input Data'!$F$31=1,0.05,IF('Input Data'!$F$31=2,Scales!$L$4,IF('Input Data'!$F$31=3,Scales!$L$5,IF('Input Data'!$F$31=4,Scales!$L$6,0.7))))</f>
        <v>0.05</v>
      </c>
      <c r="L129" s="42" t="s">
        <v>2</v>
      </c>
      <c r="M129" s="25">
        <f>'Input Data'!$H$43</f>
        <v>0</v>
      </c>
      <c r="N129" s="40" t="s">
        <v>25</v>
      </c>
      <c r="O129" s="25">
        <f>IF('Input Data'!$H$43&gt;0,$Q$112,0)</f>
        <v>0</v>
      </c>
      <c r="P129" s="66"/>
      <c r="Q129" s="951">
        <f>IF('Input Data'!$H$43&gt;0,IF('Input Data'!$D$33="N",(G129*I129*K129*M129/M130*O129),0),0)</f>
        <v>0</v>
      </c>
    </row>
    <row r="130" spans="1:17" x14ac:dyDescent="0.2">
      <c r="A130" s="1682"/>
      <c r="B130" s="1681"/>
      <c r="C130" s="1681"/>
      <c r="D130" s="1681"/>
      <c r="E130" s="1681"/>
      <c r="F130" s="423"/>
      <c r="G130" s="423"/>
      <c r="H130" s="423"/>
      <c r="I130" s="64"/>
      <c r="J130" s="49"/>
      <c r="K130" s="1046"/>
      <c r="L130" s="66"/>
      <c r="M130" s="299">
        <f>IF('Input Data'!$H$43&gt;0,'Input Data'!$H$48,0)</f>
        <v>0</v>
      </c>
      <c r="N130" s="67"/>
      <c r="O130" s="66"/>
      <c r="P130" s="66"/>
      <c r="Q130" s="952"/>
    </row>
    <row r="131" spans="1:17" x14ac:dyDescent="0.2">
      <c r="A131" s="6"/>
      <c r="B131" s="9"/>
      <c r="C131" s="9"/>
      <c r="D131" s="9"/>
      <c r="E131" s="423"/>
      <c r="F131" s="423"/>
      <c r="G131" s="423"/>
      <c r="H131" s="423"/>
      <c r="I131" s="64"/>
      <c r="J131" s="49"/>
      <c r="K131" s="1046"/>
      <c r="L131" s="66"/>
      <c r="M131" s="66"/>
      <c r="N131" s="67"/>
      <c r="O131" s="66"/>
      <c r="P131" s="66"/>
      <c r="Q131" s="952"/>
    </row>
    <row r="132" spans="1:17" x14ac:dyDescent="0.2">
      <c r="A132" s="1679" t="s">
        <v>147</v>
      </c>
      <c r="B132" s="1680"/>
      <c r="C132" s="1680"/>
      <c r="D132" s="1680"/>
      <c r="E132" s="1681"/>
      <c r="F132" s="423"/>
      <c r="G132" s="64">
        <f>IF('Input Data'!$H$44&gt;0,0.33,0)</f>
        <v>0</v>
      </c>
      <c r="H132" s="132" t="s">
        <v>1</v>
      </c>
      <c r="I132" s="70">
        <f>IF('Input Data'!$H$44&gt;0,0.25,0)</f>
        <v>0</v>
      </c>
      <c r="J132" s="36" t="s">
        <v>1</v>
      </c>
      <c r="K132" s="1046">
        <f>IF('Input Data'!$F$31=1,0.05,IF('Input Data'!$F$31=2,Scales!$L$4,IF('Input Data'!$F$31=3,Scales!$L$5,IF('Input Data'!$F$31=4,Scales!$L$6,0.7))))</f>
        <v>0.05</v>
      </c>
      <c r="L132" s="42" t="s">
        <v>2</v>
      </c>
      <c r="M132" s="25">
        <f>'Input Data'!$H$44</f>
        <v>0</v>
      </c>
      <c r="N132" s="40" t="s">
        <v>25</v>
      </c>
      <c r="O132" s="25">
        <f>IF('Input Data'!$H$44&gt;0,$Q$112,0)</f>
        <v>0</v>
      </c>
      <c r="P132" s="66"/>
      <c r="Q132" s="951">
        <f>IF('Input Data'!$H$44&gt;0,IF('Input Data'!$D$33="N",(G132*I132*K132*M132/M133*O132),0),0)</f>
        <v>0</v>
      </c>
    </row>
    <row r="133" spans="1:17" x14ac:dyDescent="0.2">
      <c r="A133" s="1682"/>
      <c r="B133" s="1681"/>
      <c r="C133" s="1681"/>
      <c r="D133" s="1681"/>
      <c r="E133" s="1681"/>
      <c r="F133" s="423"/>
      <c r="G133" s="423"/>
      <c r="H133" s="423"/>
      <c r="I133" s="64"/>
      <c r="J133" s="49"/>
      <c r="K133" s="1046"/>
      <c r="L133" s="66"/>
      <c r="M133" s="299">
        <f>IF('Input Data'!$H$44&gt;0,'Input Data'!$H$48,0)</f>
        <v>0</v>
      </c>
      <c r="N133" s="67"/>
      <c r="O133" s="66"/>
      <c r="P133" s="66"/>
      <c r="Q133" s="952"/>
    </row>
    <row r="134" spans="1:17" x14ac:dyDescent="0.2">
      <c r="A134" s="6"/>
      <c r="B134" s="9"/>
      <c r="C134" s="9"/>
      <c r="D134" s="9"/>
      <c r="E134" s="423"/>
      <c r="F134" s="423"/>
      <c r="G134" s="423"/>
      <c r="H134" s="423"/>
      <c r="I134" s="64"/>
      <c r="J134" s="49"/>
      <c r="K134" s="1046"/>
      <c r="L134" s="66"/>
      <c r="M134" s="66"/>
      <c r="N134" s="67"/>
      <c r="O134" s="66"/>
      <c r="P134" s="66"/>
      <c r="Q134" s="952"/>
    </row>
    <row r="135" spans="1:17" x14ac:dyDescent="0.2">
      <c r="A135" s="1679" t="s">
        <v>129</v>
      </c>
      <c r="B135" s="1680"/>
      <c r="C135" s="1680"/>
      <c r="D135" s="1680"/>
      <c r="E135" s="423"/>
      <c r="F135" s="423"/>
      <c r="G135" s="64">
        <f>IF('Input Data'!$H$45&gt;0,1.25,0)</f>
        <v>0</v>
      </c>
      <c r="H135" s="132" t="s">
        <v>1</v>
      </c>
      <c r="I135" s="70">
        <f>IF('Input Data'!$H$45&gt;0,0.25,0)</f>
        <v>0</v>
      </c>
      <c r="J135" s="36" t="s">
        <v>1</v>
      </c>
      <c r="K135" s="1046">
        <f>IF('Input Data'!$F$31=1,0.05,IF('Input Data'!$F$31=2,Scales!$L$4,IF('Input Data'!$F$31=3,Scales!$L$5,IF('Input Data'!$F$31=4,Scales!$L$6,0.7))))</f>
        <v>0.05</v>
      </c>
      <c r="L135" s="42" t="s">
        <v>2</v>
      </c>
      <c r="M135" s="25">
        <f>'Input Data'!$H$45</f>
        <v>0</v>
      </c>
      <c r="N135" s="40" t="s">
        <v>25</v>
      </c>
      <c r="O135" s="25">
        <f>IF('Input Data'!$H$45&gt;0,$Q$112,0)</f>
        <v>0</v>
      </c>
      <c r="P135" s="66"/>
      <c r="Q135" s="951">
        <f>IF('Input Data'!$H$45&gt;0,IF('Input Data'!$D$33="N",(G135*I135*K135*M135/M136*O135),0),0)</f>
        <v>0</v>
      </c>
    </row>
    <row r="136" spans="1:17" x14ac:dyDescent="0.2">
      <c r="A136" s="1682"/>
      <c r="B136" s="1681"/>
      <c r="C136" s="1681"/>
      <c r="D136" s="1681"/>
      <c r="E136" s="423"/>
      <c r="F136" s="423"/>
      <c r="G136" s="423"/>
      <c r="H136" s="423"/>
      <c r="I136" s="64"/>
      <c r="J136" s="49"/>
      <c r="K136" s="1046"/>
      <c r="L136" s="66"/>
      <c r="M136" s="299">
        <f>IF('Input Data'!$H$45&gt;0,'Input Data'!$H$48,0)</f>
        <v>0</v>
      </c>
      <c r="N136" s="67"/>
      <c r="O136" s="66"/>
      <c r="P136" s="66"/>
      <c r="Q136" s="952"/>
    </row>
    <row r="137" spans="1:17" x14ac:dyDescent="0.2">
      <c r="A137" s="6"/>
      <c r="B137" s="9"/>
      <c r="C137" s="9"/>
      <c r="D137" s="9"/>
      <c r="E137" s="423"/>
      <c r="F137" s="423"/>
      <c r="G137" s="423"/>
      <c r="H137" s="423"/>
      <c r="I137" s="64"/>
      <c r="J137" s="49"/>
      <c r="K137" s="1046"/>
      <c r="L137" s="66"/>
      <c r="M137" s="66"/>
      <c r="N137" s="67"/>
      <c r="O137" s="66"/>
      <c r="P137" s="66"/>
      <c r="Q137" s="952"/>
    </row>
    <row r="138" spans="1:17" x14ac:dyDescent="0.2">
      <c r="A138" s="1679" t="s">
        <v>148</v>
      </c>
      <c r="B138" s="1680"/>
      <c r="C138" s="1680"/>
      <c r="D138" s="1680"/>
      <c r="E138" s="64">
        <f>IF('Input Data'!$H$46&gt;0,1.25,0)</f>
        <v>0</v>
      </c>
      <c r="F138" s="132" t="s">
        <v>1</v>
      </c>
      <c r="G138" s="64">
        <f>IF('Input Data'!$H$46&gt;0,0.33,0)</f>
        <v>0</v>
      </c>
      <c r="H138" s="132" t="s">
        <v>1</v>
      </c>
      <c r="I138" s="70">
        <f>IF('Input Data'!$H$46&gt;0,0.25,0)</f>
        <v>0</v>
      </c>
      <c r="J138" s="36" t="s">
        <v>1</v>
      </c>
      <c r="K138" s="1046">
        <f>IF('Input Data'!$F$31=1,0.05,IF('Input Data'!$F$31=2,Scales!$L$4,IF('Input Data'!$F$31=3,Scales!$L$5,IF('Input Data'!$F$31=4,Scales!$L$6,0.7))))</f>
        <v>0.05</v>
      </c>
      <c r="L138" s="42" t="s">
        <v>2</v>
      </c>
      <c r="M138" s="25">
        <f>'Input Data'!$H$46</f>
        <v>0</v>
      </c>
      <c r="N138" s="40" t="s">
        <v>25</v>
      </c>
      <c r="O138" s="25">
        <f>IF('Input Data'!$H$46&gt;0,$Q$112,0)</f>
        <v>0</v>
      </c>
      <c r="P138" s="66"/>
      <c r="Q138" s="951">
        <f>IF('Input Data'!$H$46&gt;0,IF('Input Data'!$D$33="N",(E138*G138*I138*K138*M138/M139*O138),0),0)</f>
        <v>0</v>
      </c>
    </row>
    <row r="139" spans="1:17" ht="22.5" customHeight="1" x14ac:dyDescent="0.2">
      <c r="A139" s="1682"/>
      <c r="B139" s="1681"/>
      <c r="C139" s="1681"/>
      <c r="D139" s="1681"/>
      <c r="E139" s="421"/>
      <c r="F139" s="421"/>
      <c r="G139" s="421"/>
      <c r="H139" s="421"/>
      <c r="I139" s="64"/>
      <c r="J139" s="49"/>
      <c r="K139" s="48"/>
      <c r="L139" s="66"/>
      <c r="M139" s="299">
        <f>IF('Input Data'!$H$46&gt;0,'Input Data'!$H$48,0)</f>
        <v>0</v>
      </c>
      <c r="N139" s="67"/>
      <c r="O139" s="66"/>
      <c r="P139" s="66"/>
      <c r="Q139" s="954"/>
    </row>
    <row r="140" spans="1:17" x14ac:dyDescent="0.2">
      <c r="A140" s="5"/>
      <c r="B140" s="421"/>
      <c r="C140" s="421"/>
      <c r="D140" s="421"/>
      <c r="E140" s="421"/>
      <c r="F140" s="421"/>
      <c r="G140" s="421"/>
      <c r="H140" s="421"/>
      <c r="I140" s="64"/>
      <c r="J140" s="49"/>
      <c r="K140" s="48"/>
      <c r="L140" s="66"/>
      <c r="M140" s="66"/>
      <c r="N140" s="67"/>
      <c r="O140" s="806" t="s">
        <v>166</v>
      </c>
      <c r="P140" s="66"/>
      <c r="Q140" s="955">
        <f>IF(Q19=0,0,SUM(Q117:Q139))</f>
        <v>0</v>
      </c>
    </row>
    <row r="141" spans="1:17" ht="15.75" thickBot="1" x14ac:dyDescent="0.25">
      <c r="A141" s="62"/>
      <c r="B141" s="63"/>
      <c r="C141" s="19"/>
      <c r="D141" s="23"/>
      <c r="E141" s="29"/>
      <c r="F141" s="19"/>
      <c r="G141" s="19"/>
      <c r="H141" s="19"/>
      <c r="I141" s="64"/>
      <c r="J141" s="49"/>
      <c r="K141" s="65"/>
      <c r="L141" s="66"/>
      <c r="M141" s="66"/>
      <c r="N141" s="67"/>
      <c r="O141" s="66"/>
      <c r="P141" s="66"/>
      <c r="Q141" s="956"/>
    </row>
    <row r="142" spans="1:17" ht="11.25" customHeight="1" x14ac:dyDescent="0.2">
      <c r="A142" s="1698"/>
      <c r="B142" s="1689"/>
      <c r="C142" s="1689"/>
      <c r="D142" s="1689"/>
      <c r="E142" s="1689"/>
      <c r="F142" s="1689"/>
      <c r="G142" s="1689"/>
      <c r="H142" s="1689"/>
      <c r="I142" s="1689"/>
      <c r="J142" s="1689"/>
      <c r="K142" s="1689"/>
      <c r="L142" s="477"/>
      <c r="M142" s="477"/>
      <c r="N142" s="306"/>
      <c r="O142" s="307"/>
      <c r="P142" s="305"/>
      <c r="Q142" s="957"/>
    </row>
    <row r="143" spans="1:17" x14ac:dyDescent="0.2">
      <c r="A143" s="496" t="s">
        <v>132</v>
      </c>
      <c r="B143" s="19"/>
      <c r="C143" s="48"/>
      <c r="D143" s="19"/>
      <c r="E143" s="19"/>
      <c r="F143" s="19"/>
      <c r="G143" s="19"/>
      <c r="H143" s="19"/>
      <c r="I143" s="29"/>
      <c r="J143" s="36"/>
      <c r="K143" s="1046">
        <f>IF('Input Data'!$F$31=1,0.05,IF('Input Data'!$F$31=2,Scales!$L$4,IF('Input Data'!$F$31=3,Scales!$L$5,IF('Input Data'!$F$31=4,Scales!$L$6,0.7))))</f>
        <v>0.05</v>
      </c>
      <c r="L143" s="42" t="s">
        <v>2</v>
      </c>
      <c r="M143" s="495">
        <f>IF('Input Data'!$H$51&gt;0,'Input Data'!H$51,0)</f>
        <v>0</v>
      </c>
      <c r="N143" s="40" t="s">
        <v>25</v>
      </c>
      <c r="O143" s="25">
        <f>$Q$114</f>
        <v>0</v>
      </c>
      <c r="P143" s="45"/>
      <c r="Q143" s="943">
        <f>IF('Input Data'!D33="Y",0,IF(K20=0,0,K143*M143/M144*O143))</f>
        <v>0</v>
      </c>
    </row>
    <row r="144" spans="1:17" x14ac:dyDescent="0.2">
      <c r="A144" s="43"/>
      <c r="B144" s="19"/>
      <c r="C144" s="19"/>
      <c r="D144" s="19"/>
      <c r="E144" s="19"/>
      <c r="F144" s="19"/>
      <c r="G144" s="19"/>
      <c r="H144" s="19"/>
      <c r="I144" s="29"/>
      <c r="J144" s="36"/>
      <c r="K144" s="48"/>
      <c r="L144" s="42"/>
      <c r="M144" s="25">
        <f>IF('Input Data'!$H$51&gt;0,'Input Data'!H$51,0)</f>
        <v>0</v>
      </c>
      <c r="N144" s="40"/>
      <c r="O144" s="25"/>
      <c r="P144" s="45"/>
      <c r="Q144" s="948"/>
    </row>
    <row r="145" spans="1:17" ht="7.5" customHeight="1" thickBot="1" x14ac:dyDescent="0.25">
      <c r="A145" s="123"/>
      <c r="B145" s="12"/>
      <c r="C145" s="86"/>
      <c r="D145" s="86"/>
      <c r="E145" s="86"/>
      <c r="F145" s="86"/>
      <c r="G145" s="86"/>
      <c r="H145" s="86"/>
      <c r="I145" s="133"/>
      <c r="J145" s="85"/>
      <c r="K145" s="87"/>
      <c r="L145" s="13"/>
      <c r="M145" s="13"/>
      <c r="N145" s="79"/>
      <c r="O145" s="13"/>
      <c r="P145" s="13"/>
      <c r="Q145" s="958"/>
    </row>
    <row r="146" spans="1:17" ht="9" customHeight="1" x14ac:dyDescent="0.2">
      <c r="A146" s="62"/>
      <c r="B146" s="63"/>
      <c r="C146" s="19"/>
      <c r="D146" s="19"/>
      <c r="E146" s="19"/>
      <c r="F146" s="19"/>
      <c r="G146" s="19"/>
      <c r="H146" s="19"/>
      <c r="I146" s="64"/>
      <c r="J146" s="49"/>
      <c r="K146" s="65"/>
      <c r="L146" s="66"/>
      <c r="M146" s="66"/>
      <c r="N146" s="67"/>
      <c r="O146" s="66"/>
      <c r="P146" s="66"/>
      <c r="Q146" s="937"/>
    </row>
    <row r="147" spans="1:17" x14ac:dyDescent="0.2">
      <c r="A147" s="16" t="s">
        <v>198</v>
      </c>
      <c r="B147" s="63"/>
      <c r="C147" s="19"/>
      <c r="D147" s="19"/>
      <c r="E147" s="19"/>
      <c r="F147" s="19"/>
      <c r="G147" s="19"/>
      <c r="H147" s="19"/>
      <c r="I147" s="1467">
        <f>IF('Input Data'!$F$31=1,1,IF('Input Data'!$F$31&lt;5,'Input Data'!$D$32,1))</f>
        <v>1</v>
      </c>
      <c r="J147" s="44" t="s">
        <v>25</v>
      </c>
      <c r="K147" s="65">
        <f>IF('Input Data'!$E$34="y",0.01,0)</f>
        <v>0</v>
      </c>
      <c r="L147" s="40" t="s">
        <v>1</v>
      </c>
      <c r="M147" s="1046">
        <f>IF('Input Data'!$F$31=1,0.05,IF('Input Data'!$F$31=2,Scales!$L$4,IF('Input Data'!$F$31=3,Scales!$L$5,IF('Input Data'!$F$31=4,Scales!$L$6,0.7))))</f>
        <v>0.05</v>
      </c>
      <c r="N147" s="40" t="s">
        <v>2</v>
      </c>
      <c r="O147" s="66">
        <f>IF('Input Data'!D33="N",IF('Input Data'!E34="y",$Q$20,0),0)</f>
        <v>0</v>
      </c>
      <c r="P147" s="42" t="s">
        <v>3</v>
      </c>
      <c r="Q147" s="941">
        <f>IF('Input Data'!D33="Y",0,IF(Q19=0,0,(I147*K147*M147*O147)))</f>
        <v>0</v>
      </c>
    </row>
    <row r="148" spans="1:17" ht="15.75" thickBot="1" x14ac:dyDescent="0.25">
      <c r="A148" s="11"/>
      <c r="B148" s="12"/>
      <c r="C148" s="133"/>
      <c r="D148" s="134"/>
      <c r="E148" s="134"/>
      <c r="F148" s="134"/>
      <c r="G148" s="134"/>
      <c r="H148" s="134"/>
      <c r="I148" s="164"/>
      <c r="J148" s="165"/>
      <c r="K148" s="13"/>
      <c r="L148" s="166"/>
      <c r="M148" s="13"/>
      <c r="N148" s="79"/>
      <c r="O148" s="13"/>
      <c r="P148" s="80"/>
      <c r="Q148" s="958"/>
    </row>
    <row r="149" spans="1:17" x14ac:dyDescent="0.2">
      <c r="A149" s="17"/>
      <c r="B149" s="63"/>
      <c r="C149" s="64"/>
      <c r="D149" s="36"/>
      <c r="E149" s="36"/>
      <c r="F149" s="36"/>
      <c r="G149" s="36"/>
      <c r="H149" s="36"/>
      <c r="I149" s="37"/>
      <c r="J149" s="38"/>
      <c r="K149" s="66"/>
      <c r="L149" s="494"/>
      <c r="M149" s="66"/>
      <c r="N149" s="67"/>
      <c r="O149" s="66"/>
      <c r="P149" s="42"/>
      <c r="Q149" s="937"/>
    </row>
    <row r="150" spans="1:17" x14ac:dyDescent="0.2">
      <c r="A150" s="499" t="s">
        <v>334</v>
      </c>
      <c r="B150" s="63"/>
      <c r="C150" s="64"/>
      <c r="D150" s="36"/>
      <c r="E150" s="36"/>
      <c r="F150" s="36"/>
      <c r="G150" s="36"/>
      <c r="H150" s="36"/>
      <c r="I150" s="37"/>
      <c r="J150" s="38"/>
      <c r="K150" s="66"/>
      <c r="L150" s="494"/>
      <c r="M150" s="65">
        <v>1.25</v>
      </c>
      <c r="N150" s="67" t="s">
        <v>25</v>
      </c>
      <c r="O150" s="66">
        <f>'WTW Calculations'!S46</f>
        <v>0</v>
      </c>
      <c r="P150" s="42"/>
      <c r="Q150" s="959">
        <f>M150*O150</f>
        <v>0</v>
      </c>
    </row>
    <row r="151" spans="1:17" ht="15.75" thickBot="1" x14ac:dyDescent="0.25">
      <c r="A151" s="11"/>
      <c r="B151" s="12"/>
      <c r="C151" s="133"/>
      <c r="D151" s="134"/>
      <c r="E151" s="134"/>
      <c r="F151" s="134"/>
      <c r="G151" s="134"/>
      <c r="H151" s="134"/>
      <c r="I151" s="164"/>
      <c r="J151" s="165"/>
      <c r="K151" s="13"/>
      <c r="L151" s="166"/>
      <c r="M151" s="13"/>
      <c r="N151" s="79"/>
      <c r="O151" s="13"/>
      <c r="P151" s="80"/>
      <c r="Q151" s="958"/>
    </row>
    <row r="152" spans="1:17" ht="24.75" customHeight="1" thickBot="1" x14ac:dyDescent="0.25">
      <c r="A152" s="466"/>
      <c r="B152" s="467"/>
      <c r="C152" s="468"/>
      <c r="D152" s="467"/>
      <c r="E152" s="467"/>
      <c r="F152" s="467"/>
      <c r="G152" s="469"/>
      <c r="H152" s="467"/>
      <c r="I152" s="467"/>
      <c r="J152" s="467"/>
      <c r="K152" s="470"/>
      <c r="L152" s="470"/>
      <c r="M152" s="468"/>
      <c r="N152" s="468"/>
      <c r="O152" s="468"/>
      <c r="P152" s="465" t="s">
        <v>320</v>
      </c>
      <c r="Q152" s="960">
        <f>IF(Q19=0,0,Q140+Q143+Q147+Q150)</f>
        <v>0</v>
      </c>
    </row>
    <row r="153" spans="1:17" ht="24.75" customHeight="1" thickTop="1" thickBot="1" x14ac:dyDescent="0.25">
      <c r="A153" s="1015"/>
      <c r="B153" s="1016"/>
      <c r="C153" s="1017"/>
      <c r="D153" s="1016"/>
      <c r="E153" s="1016"/>
      <c r="F153" s="1016"/>
      <c r="G153" s="1018"/>
      <c r="H153" s="1016"/>
      <c r="I153" s="1016"/>
      <c r="J153" s="1016"/>
      <c r="K153" s="1019"/>
      <c r="L153" s="1019"/>
      <c r="M153" s="1017"/>
      <c r="N153" s="1017"/>
      <c r="O153" s="1017"/>
      <c r="P153" s="1020"/>
      <c r="Q153" s="1021"/>
    </row>
    <row r="154" spans="1:17" ht="18.75" thickTop="1" x14ac:dyDescent="0.2">
      <c r="A154" s="82" t="s">
        <v>319</v>
      </c>
      <c r="B154" s="63"/>
      <c r="C154" s="63"/>
      <c r="D154" s="63"/>
      <c r="E154" s="63"/>
      <c r="F154" s="63"/>
      <c r="G154" s="63"/>
      <c r="H154" s="63"/>
      <c r="I154" s="63"/>
      <c r="J154" s="63"/>
      <c r="K154" s="63"/>
      <c r="L154" s="63"/>
      <c r="M154" s="63"/>
      <c r="N154" s="49"/>
      <c r="O154" s="83"/>
      <c r="P154" s="63"/>
      <c r="Q154" s="937"/>
    </row>
    <row r="155" spans="1:17" x14ac:dyDescent="0.2">
      <c r="A155" s="1697" t="s">
        <v>175</v>
      </c>
      <c r="B155" s="1685"/>
      <c r="C155" s="1685"/>
      <c r="D155" s="36"/>
      <c r="E155" s="36"/>
      <c r="F155" s="36"/>
      <c r="G155" s="36"/>
      <c r="H155" s="36"/>
      <c r="I155" s="19"/>
      <c r="J155" s="19"/>
      <c r="K155" s="48">
        <f>IF('Input Data'!$F$31&lt;5,0,IF('Input Data'!$F$31=5,0.25,IF('Input Data'!$F$31=6,0.3)))</f>
        <v>0</v>
      </c>
      <c r="L155" s="38" t="s">
        <v>2</v>
      </c>
      <c r="M155" s="84">
        <f>'Input Data'!H55</f>
        <v>0</v>
      </c>
      <c r="N155" s="40" t="s">
        <v>25</v>
      </c>
      <c r="O155" s="84">
        <f>IF('Input Data'!$F$31&lt;4,0,$Q$112)</f>
        <v>0</v>
      </c>
      <c r="P155" s="25"/>
      <c r="Q155" s="951">
        <f>IF('Input Data'!$F$31&gt;4,IF('Input Data'!$H$55&gt;0,(K155*M155/M156*O155),0),0)</f>
        <v>0</v>
      </c>
    </row>
    <row r="156" spans="1:17" x14ac:dyDescent="0.2">
      <c r="A156" s="1690"/>
      <c r="B156" s="1685"/>
      <c r="C156" s="1685"/>
      <c r="D156" s="44"/>
      <c r="E156" s="44"/>
      <c r="F156" s="44"/>
      <c r="G156" s="44"/>
      <c r="H156" s="44"/>
      <c r="I156" s="19"/>
      <c r="J156" s="44"/>
      <c r="K156" s="48"/>
      <c r="L156" s="20"/>
      <c r="M156" s="308">
        <f>IF('Input Data'!F$31&gt;3,IF('Input Data'!$H$55&gt;0,'Input Data'!$H$48,0),0)</f>
        <v>0</v>
      </c>
      <c r="N156" s="40"/>
      <c r="O156" s="25"/>
      <c r="P156" s="25"/>
      <c r="Q156" s="948"/>
    </row>
    <row r="157" spans="1:17" x14ac:dyDescent="0.2">
      <c r="A157" s="43"/>
      <c r="B157" s="19"/>
      <c r="C157" s="20"/>
      <c r="D157" s="44"/>
      <c r="E157" s="44"/>
      <c r="F157" s="44"/>
      <c r="G157" s="44"/>
      <c r="H157" s="44"/>
      <c r="I157" s="19"/>
      <c r="J157" s="44"/>
      <c r="K157" s="48"/>
      <c r="L157" s="20"/>
      <c r="M157" s="45"/>
      <c r="N157" s="40"/>
      <c r="O157" s="25"/>
      <c r="P157" s="25"/>
      <c r="Q157" s="948"/>
    </row>
    <row r="158" spans="1:17" x14ac:dyDescent="0.2">
      <c r="A158" s="1683" t="s">
        <v>125</v>
      </c>
      <c r="B158" s="1684"/>
      <c r="C158" s="1685"/>
      <c r="D158" s="36"/>
      <c r="E158" s="36"/>
      <c r="F158" s="36"/>
      <c r="G158" s="36"/>
      <c r="H158" s="36"/>
      <c r="I158" s="68">
        <f>IF('Input Data'!$H$56&gt;0,1.25,0)</f>
        <v>0</v>
      </c>
      <c r="J158" s="44" t="s">
        <v>25</v>
      </c>
      <c r="K158" s="48">
        <f>IF('Input Data'!$F$31&lt;5,0,IF('Input Data'!$F$31=5,0.25,IF('Input Data'!$F$31=6,0.3)))</f>
        <v>0</v>
      </c>
      <c r="L158" s="38" t="s">
        <v>2</v>
      </c>
      <c r="M158" s="84">
        <f>'Input Data'!H56</f>
        <v>0</v>
      </c>
      <c r="N158" s="40" t="s">
        <v>25</v>
      </c>
      <c r="O158" s="84">
        <f>IF('Input Data'!$F$31&lt;4,0,$Q$112)</f>
        <v>0</v>
      </c>
      <c r="P158" s="42"/>
      <c r="Q158" s="951">
        <f>IF('Input Data'!$F$31&gt;4,IF('Input Data'!$H$56&gt;0,(I158*K158*M158/M159*O158),0),0)</f>
        <v>0</v>
      </c>
    </row>
    <row r="159" spans="1:17" x14ac:dyDescent="0.2">
      <c r="A159" s="1690"/>
      <c r="B159" s="1685"/>
      <c r="C159" s="1685"/>
      <c r="D159" s="49"/>
      <c r="E159" s="49"/>
      <c r="F159" s="49"/>
      <c r="G159" s="49"/>
      <c r="H159" s="49"/>
      <c r="I159" s="19"/>
      <c r="J159" s="44"/>
      <c r="K159" s="65"/>
      <c r="L159" s="63"/>
      <c r="M159" s="308">
        <f>IF('Input Data'!F$31&gt;3,IF('Input Data'!$H$56&gt;0,'Input Data'!$H$48,0),0)</f>
        <v>0</v>
      </c>
      <c r="N159" s="67"/>
      <c r="O159" s="66"/>
      <c r="P159" s="66"/>
      <c r="Q159" s="937"/>
    </row>
    <row r="160" spans="1:17" x14ac:dyDescent="0.2">
      <c r="A160" s="425"/>
      <c r="B160" s="403"/>
      <c r="C160" s="403"/>
      <c r="D160" s="49"/>
      <c r="E160" s="49"/>
      <c r="F160" s="49"/>
      <c r="G160" s="49"/>
      <c r="H160" s="49"/>
      <c r="I160" s="19"/>
      <c r="J160" s="44"/>
      <c r="K160" s="65"/>
      <c r="L160" s="63"/>
      <c r="M160" s="45"/>
      <c r="N160" s="67"/>
      <c r="O160" s="135" t="s">
        <v>166</v>
      </c>
      <c r="P160" s="66"/>
      <c r="Q160" s="961">
        <f>IF(Q19=0,0,SUM(Q155:Q159))</f>
        <v>0</v>
      </c>
    </row>
    <row r="161" spans="1:17" ht="15.75" thickBot="1" x14ac:dyDescent="0.25">
      <c r="A161" s="426"/>
      <c r="B161" s="427"/>
      <c r="C161" s="427"/>
      <c r="D161" s="85"/>
      <c r="E161" s="85"/>
      <c r="F161" s="85"/>
      <c r="G161" s="85"/>
      <c r="H161" s="85"/>
      <c r="I161" s="86"/>
      <c r="J161" s="1111"/>
      <c r="K161" s="87"/>
      <c r="L161" s="12"/>
      <c r="M161" s="88"/>
      <c r="N161" s="79"/>
      <c r="O161" s="13"/>
      <c r="P161" s="13"/>
      <c r="Q161" s="958"/>
    </row>
    <row r="162" spans="1:17" ht="9" customHeight="1" x14ac:dyDescent="0.2">
      <c r="A162" s="480"/>
      <c r="B162" s="481"/>
      <c r="C162" s="481"/>
      <c r="D162" s="481"/>
      <c r="E162" s="481"/>
      <c r="F162" s="481"/>
      <c r="G162" s="481"/>
      <c r="H162" s="481"/>
      <c r="I162" s="481"/>
      <c r="J162" s="1112"/>
      <c r="K162" s="481"/>
      <c r="L162" s="482"/>
      <c r="M162" s="482"/>
      <c r="N162" s="40"/>
      <c r="O162" s="45"/>
      <c r="P162" s="42"/>
      <c r="Q162" s="939"/>
    </row>
    <row r="163" spans="1:17" x14ac:dyDescent="0.2">
      <c r="A163" s="508" t="s">
        <v>132</v>
      </c>
      <c r="B163" s="19"/>
      <c r="C163" s="48"/>
      <c r="D163" s="19"/>
      <c r="E163" s="19"/>
      <c r="F163" s="19"/>
      <c r="G163" s="19"/>
      <c r="H163" s="19"/>
      <c r="I163" s="29"/>
      <c r="J163" s="36"/>
      <c r="K163" s="48">
        <f>IF('Input Data'!$F$31&lt;5,0,IF('Input Data'!$F$31=5,0.25,IF('Input Data'!$F$31=6,0.3)))</f>
        <v>0</v>
      </c>
      <c r="L163" s="42" t="s">
        <v>2</v>
      </c>
      <c r="M163" s="84">
        <f>IF('Input Data'!$F$31&gt;3,'Input Data'!$H$59,0)</f>
        <v>0</v>
      </c>
      <c r="N163" s="40" t="s">
        <v>25</v>
      </c>
      <c r="O163" s="25">
        <f>$Q$114</f>
        <v>0</v>
      </c>
      <c r="P163" s="45"/>
      <c r="Q163" s="943">
        <f>IF('Input Data'!$F$31&gt;4,IF('Input Data'!H59&gt;0,(K163*M163/M164*O163),0),0)</f>
        <v>0</v>
      </c>
    </row>
    <row r="164" spans="1:17" ht="18" x14ac:dyDescent="0.2">
      <c r="A164" s="43"/>
      <c r="B164" s="19"/>
      <c r="C164" s="19"/>
      <c r="D164" s="19"/>
      <c r="E164" s="19"/>
      <c r="F164" s="131"/>
      <c r="G164" s="19"/>
      <c r="H164" s="19"/>
      <c r="I164" s="29"/>
      <c r="J164" s="36"/>
      <c r="K164" s="48"/>
      <c r="L164" s="42"/>
      <c r="M164" s="298">
        <f>IF('Input Data'!$F$31&gt;4,'Input Data'!$H$51,0)</f>
        <v>0</v>
      </c>
      <c r="N164" s="40"/>
      <c r="O164" s="25"/>
      <c r="P164" s="45"/>
      <c r="Q164" s="948"/>
    </row>
    <row r="165" spans="1:17" ht="9.75" customHeight="1" thickBot="1" x14ac:dyDescent="0.25">
      <c r="A165" s="123"/>
      <c r="B165" s="12"/>
      <c r="C165" s="86"/>
      <c r="D165" s="86"/>
      <c r="E165" s="86"/>
      <c r="F165" s="86"/>
      <c r="G165" s="86"/>
      <c r="H165" s="86"/>
      <c r="I165" s="133"/>
      <c r="J165" s="85"/>
      <c r="K165" s="87"/>
      <c r="L165" s="13"/>
      <c r="M165" s="13"/>
      <c r="N165" s="79"/>
      <c r="O165" s="13"/>
      <c r="P165" s="13"/>
      <c r="Q165" s="958"/>
    </row>
    <row r="166" spans="1:17" x14ac:dyDescent="0.2">
      <c r="A166" s="62"/>
      <c r="B166" s="63"/>
      <c r="C166" s="19"/>
      <c r="D166" s="19"/>
      <c r="E166" s="19"/>
      <c r="F166" s="19"/>
      <c r="G166" s="19"/>
      <c r="H166" s="19"/>
      <c r="I166" s="64"/>
      <c r="J166" s="49"/>
      <c r="K166" s="65"/>
      <c r="L166" s="66"/>
      <c r="M166" s="66"/>
      <c r="N166" s="67"/>
      <c r="O166" s="66"/>
      <c r="P166" s="66"/>
      <c r="Q166" s="937"/>
    </row>
    <row r="167" spans="1:17" ht="15.75" x14ac:dyDescent="0.2">
      <c r="A167" s="454" t="s">
        <v>198</v>
      </c>
      <c r="B167" s="63"/>
      <c r="C167" s="19"/>
      <c r="D167" s="19"/>
      <c r="E167" s="19"/>
      <c r="F167" s="19"/>
      <c r="G167" s="19"/>
      <c r="H167" s="19"/>
      <c r="I167" s="1467">
        <f>IF('Input Data'!F31&lt;5,0,'Input Data'!H60/'Input Data'!H52)</f>
        <v>0</v>
      </c>
      <c r="J167" s="44"/>
      <c r="K167" s="65">
        <f>IF('Input Data'!$E$34="y",0.01,0)</f>
        <v>0</v>
      </c>
      <c r="L167" s="36" t="s">
        <v>1</v>
      </c>
      <c r="M167" s="48">
        <f>IF('Input Data'!$F$31&lt;5,0,IF('Input Data'!$F$31=5,0.25,IF('Input Data'!$F$31=6,0.3)))</f>
        <v>0</v>
      </c>
      <c r="N167" s="40" t="s">
        <v>2</v>
      </c>
      <c r="O167" s="66">
        <f>IF('Input Data'!$F$31&lt;5,0,IF('Input Data'!$E$34="y",$Q$20,0))</f>
        <v>0</v>
      </c>
      <c r="P167" s="42" t="s">
        <v>3</v>
      </c>
      <c r="Q167" s="941">
        <f>I167*K167*M167*O167</f>
        <v>0</v>
      </c>
    </row>
    <row r="168" spans="1:17" ht="15.75" thickBot="1" x14ac:dyDescent="0.25">
      <c r="A168" s="11"/>
      <c r="B168" s="12"/>
      <c r="C168" s="86"/>
      <c r="D168" s="86"/>
      <c r="E168" s="86"/>
      <c r="F168" s="86"/>
      <c r="G168" s="86"/>
      <c r="H168" s="86"/>
      <c r="I168" s="86"/>
      <c r="J168" s="1111"/>
      <c r="K168" s="87"/>
      <c r="L168" s="134"/>
      <c r="M168" s="451"/>
      <c r="N168" s="452"/>
      <c r="O168" s="453"/>
      <c r="P168" s="80"/>
      <c r="Q168" s="958"/>
    </row>
    <row r="169" spans="1:17" x14ac:dyDescent="0.2">
      <c r="A169" s="455"/>
      <c r="B169" s="309"/>
      <c r="C169" s="301"/>
      <c r="D169" s="301"/>
      <c r="E169" s="301"/>
      <c r="F169" s="301"/>
      <c r="G169" s="301"/>
      <c r="H169" s="301"/>
      <c r="I169" s="301"/>
      <c r="J169" s="1113"/>
      <c r="K169" s="497"/>
      <c r="L169" s="303"/>
      <c r="M169" s="304"/>
      <c r="N169" s="306"/>
      <c r="O169" s="498"/>
      <c r="P169" s="305"/>
      <c r="Q169" s="962"/>
    </row>
    <row r="170" spans="1:17" x14ac:dyDescent="0.2">
      <c r="A170" s="507" t="s">
        <v>334</v>
      </c>
      <c r="B170" s="63"/>
      <c r="C170" s="19"/>
      <c r="D170" s="19"/>
      <c r="E170" s="19"/>
      <c r="F170" s="19"/>
      <c r="G170" s="19"/>
      <c r="H170" s="19"/>
      <c r="I170" s="19"/>
      <c r="J170" s="44"/>
      <c r="K170" s="65"/>
      <c r="L170" s="36"/>
      <c r="M170" s="48">
        <f>IF(O170&gt;0,1.25,0)</f>
        <v>0</v>
      </c>
      <c r="N170" s="40" t="s">
        <v>25</v>
      </c>
      <c r="O170" s="500">
        <f>'WTW Calculations'!S55</f>
        <v>0</v>
      </c>
      <c r="P170" s="42"/>
      <c r="Q170" s="959">
        <f>O170*M170</f>
        <v>0</v>
      </c>
    </row>
    <row r="171" spans="1:17" ht="15.75" thickBot="1" x14ac:dyDescent="0.25">
      <c r="A171" s="11"/>
      <c r="B171" s="12"/>
      <c r="C171" s="86"/>
      <c r="D171" s="86"/>
      <c r="E171" s="86"/>
      <c r="F171" s="86"/>
      <c r="G171" s="86"/>
      <c r="H171" s="86"/>
      <c r="I171" s="86"/>
      <c r="J171" s="1111"/>
      <c r="K171" s="87"/>
      <c r="L171" s="134"/>
      <c r="M171" s="451"/>
      <c r="N171" s="452"/>
      <c r="O171" s="453"/>
      <c r="P171" s="80"/>
      <c r="Q171" s="958"/>
    </row>
    <row r="172" spans="1:17" ht="18.75" thickBot="1" x14ac:dyDescent="0.25">
      <c r="A172" s="471"/>
      <c r="B172" s="472"/>
      <c r="C172" s="32"/>
      <c r="D172" s="32"/>
      <c r="E172" s="473"/>
      <c r="F172" s="473"/>
      <c r="G172" s="32"/>
      <c r="H172" s="474"/>
      <c r="I172" s="28"/>
      <c r="J172" s="74"/>
      <c r="K172" s="388"/>
      <c r="L172" s="15"/>
      <c r="M172" s="76"/>
      <c r="N172" s="76"/>
      <c r="O172" s="475" t="s">
        <v>321</v>
      </c>
      <c r="P172" s="76"/>
      <c r="Q172" s="960">
        <f>IF(16=0,0,(Q160+Q163+Q167+Q170))</f>
        <v>0</v>
      </c>
    </row>
    <row r="173" spans="1:17" ht="15.75" thickTop="1" x14ac:dyDescent="0.2">
      <c r="A173" s="455"/>
      <c r="B173" s="309"/>
      <c r="C173" s="301"/>
      <c r="D173" s="301"/>
      <c r="E173" s="301"/>
      <c r="F173" s="301"/>
      <c r="G173" s="301"/>
      <c r="H173" s="301"/>
      <c r="I173" s="301"/>
      <c r="J173" s="1113"/>
      <c r="K173" s="456"/>
      <c r="L173" s="303"/>
      <c r="M173" s="78"/>
      <c r="N173" s="305"/>
      <c r="O173" s="310"/>
      <c r="P173" s="305"/>
      <c r="Q173" s="962"/>
    </row>
    <row r="174" spans="1:17" ht="18" x14ac:dyDescent="0.2">
      <c r="A174" s="458" t="s">
        <v>317</v>
      </c>
      <c r="B174" s="63"/>
      <c r="C174" s="19"/>
      <c r="D174" s="19"/>
      <c r="E174" s="19"/>
      <c r="F174" s="19"/>
      <c r="G174" s="19"/>
      <c r="H174" s="19"/>
      <c r="I174" s="1467">
        <f>IF('Input Data'!$F$31=1,1,IF('Input Data'!$F$31&lt;5,'Input Data'!$D$32,IF('Input Data'!$F$31=5,'Input Data'!H58/'Input Data'!H48)))</f>
        <v>1</v>
      </c>
      <c r="J174" s="44" t="s">
        <v>25</v>
      </c>
      <c r="K174" s="64">
        <f>IF('Input Data'!$E$35="y",0.07,0)</f>
        <v>0</v>
      </c>
      <c r="L174" s="36" t="s">
        <v>25</v>
      </c>
      <c r="M174" s="1046">
        <f>IF('Input Data'!$F$31=1,0.05,IF('Input Data'!$F$31=2,Scales!$L$4,IF('Input Data'!$F$31=3,Scales!$L$5,IF('Input Data'!$F$31=4,Scales!$L$6,IF('Input Data'!$F$31=5,0.95,1)))))</f>
        <v>0.05</v>
      </c>
      <c r="N174" s="40" t="s">
        <v>2</v>
      </c>
      <c r="O174" s="66">
        <f>$Q$115</f>
        <v>0</v>
      </c>
      <c r="P174" s="42" t="s">
        <v>3</v>
      </c>
      <c r="Q174" s="956">
        <f>I174*K174*M174*O174</f>
        <v>0</v>
      </c>
    </row>
    <row r="175" spans="1:17" ht="15.75" thickBot="1" x14ac:dyDescent="0.25">
      <c r="A175" s="11"/>
      <c r="B175" s="12"/>
      <c r="C175" s="86"/>
      <c r="D175" s="86"/>
      <c r="E175" s="86"/>
      <c r="F175" s="86"/>
      <c r="G175" s="86"/>
      <c r="H175" s="86"/>
      <c r="I175" s="86"/>
      <c r="J175" s="1111"/>
      <c r="K175" s="133"/>
      <c r="L175" s="134"/>
      <c r="M175" s="60"/>
      <c r="N175" s="80"/>
      <c r="O175" s="13"/>
      <c r="P175" s="80"/>
      <c r="Q175" s="958"/>
    </row>
    <row r="176" spans="1:17" ht="16.5" thickBot="1" x14ac:dyDescent="0.25">
      <c r="A176" s="311"/>
      <c r="B176" s="14"/>
      <c r="C176" s="14"/>
      <c r="D176" s="14"/>
      <c r="E176" s="14"/>
      <c r="F176" s="14"/>
      <c r="G176" s="312"/>
      <c r="H176" s="14"/>
      <c r="I176" s="428"/>
      <c r="J176" s="14"/>
      <c r="K176" s="311"/>
      <c r="L176" s="14"/>
      <c r="M176" s="14"/>
      <c r="N176" s="14"/>
      <c r="O176" s="445" t="s">
        <v>297</v>
      </c>
      <c r="P176" s="14"/>
      <c r="Q176" s="963">
        <f>IF(Q19&gt;0,Q152+Q172+Q174,0)</f>
        <v>0</v>
      </c>
    </row>
    <row r="17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91">
    <mergeCell ref="B9:J9"/>
    <mergeCell ref="B10:H10"/>
    <mergeCell ref="L16:M16"/>
    <mergeCell ref="K7:L7"/>
    <mergeCell ref="M7:O7"/>
    <mergeCell ref="K8:L8"/>
    <mergeCell ref="M8:O8"/>
    <mergeCell ref="B12:N12"/>
    <mergeCell ref="C15:J15"/>
    <mergeCell ref="B14:O14"/>
    <mergeCell ref="J10:K10"/>
    <mergeCell ref="A158:C159"/>
    <mergeCell ref="G87:O87"/>
    <mergeCell ref="A155:C156"/>
    <mergeCell ref="A142:K142"/>
    <mergeCell ref="A138:D139"/>
    <mergeCell ref="A135:D136"/>
    <mergeCell ref="I90:O90"/>
    <mergeCell ref="I88:J88"/>
    <mergeCell ref="A126:F127"/>
    <mergeCell ref="B100:Q101"/>
    <mergeCell ref="C105:E105"/>
    <mergeCell ref="F105:H105"/>
    <mergeCell ref="I105:J105"/>
    <mergeCell ref="K105:L105"/>
    <mergeCell ref="M105:N105"/>
    <mergeCell ref="O105:P105"/>
    <mergeCell ref="P6:Q6"/>
    <mergeCell ref="B5:Q5"/>
    <mergeCell ref="B6:J6"/>
    <mergeCell ref="A132:E133"/>
    <mergeCell ref="A123:D124"/>
    <mergeCell ref="A114:I114"/>
    <mergeCell ref="A54:N54"/>
    <mergeCell ref="A117:C118"/>
    <mergeCell ref="A129:E130"/>
    <mergeCell ref="A120:D121"/>
    <mergeCell ref="C104:E104"/>
    <mergeCell ref="F104:H104"/>
    <mergeCell ref="I104:J104"/>
    <mergeCell ref="A52:N52"/>
    <mergeCell ref="A20:J20"/>
    <mergeCell ref="B8:J8"/>
    <mergeCell ref="K6:L6"/>
    <mergeCell ref="N6:O6"/>
    <mergeCell ref="B7:J7"/>
    <mergeCell ref="C4:G4"/>
    <mergeCell ref="A47:P47"/>
    <mergeCell ref="H4:I4"/>
    <mergeCell ref="O10:Q10"/>
    <mergeCell ref="B17:I17"/>
    <mergeCell ref="B13:O13"/>
    <mergeCell ref="O15:Q15"/>
    <mergeCell ref="A33:N33"/>
    <mergeCell ref="A35:N35"/>
    <mergeCell ref="A37:N37"/>
    <mergeCell ref="A29:N29"/>
    <mergeCell ref="A31:N31"/>
    <mergeCell ref="P4:Q4"/>
    <mergeCell ref="A27:N27"/>
    <mergeCell ref="A25:N25"/>
    <mergeCell ref="A23:M23"/>
    <mergeCell ref="L20:P20"/>
    <mergeCell ref="K104:L104"/>
    <mergeCell ref="M104:N104"/>
    <mergeCell ref="P12:Q12"/>
    <mergeCell ref="N17:O17"/>
    <mergeCell ref="C18:I18"/>
    <mergeCell ref="L19:P19"/>
    <mergeCell ref="B19:K19"/>
    <mergeCell ref="O18:Q18"/>
    <mergeCell ref="A39:M39"/>
    <mergeCell ref="C106:E106"/>
    <mergeCell ref="F106:H106"/>
    <mergeCell ref="I106:J106"/>
    <mergeCell ref="O104:P104"/>
    <mergeCell ref="M108:N108"/>
    <mergeCell ref="O108:P108"/>
    <mergeCell ref="C108:E108"/>
    <mergeCell ref="F108:H108"/>
    <mergeCell ref="I108:J108"/>
    <mergeCell ref="K108:L108"/>
    <mergeCell ref="O107:P107"/>
    <mergeCell ref="K106:L106"/>
    <mergeCell ref="C107:E107"/>
    <mergeCell ref="F107:H107"/>
    <mergeCell ref="I107:J107"/>
    <mergeCell ref="K107:L107"/>
    <mergeCell ref="M107:N107"/>
    <mergeCell ref="M106:N106"/>
    <mergeCell ref="O106:P106"/>
  </mergeCells>
  <phoneticPr fontId="0" type="noConversion"/>
  <conditionalFormatting sqref="Q108 O108 M108 K108 I108 B108:C108 F108">
    <cfRule type="expression" dxfId="0" priority="1" stopIfTrue="1">
      <formula>B108&lt;B107</formula>
    </cfRule>
  </conditionalFormatting>
  <printOptions horizontalCentered="1"/>
  <pageMargins left="0.55118110236220474" right="0.55118110236220474" top="0.78740157480314965" bottom="0.78740157480314965" header="0.47244094488188981" footer="0.55118110236220474"/>
  <pageSetup paperSize="9" scale="53" orientation="portrait" r:id="rId2"/>
  <headerFooter alignWithMargins="0">
    <oddFooter>&amp;L&amp;"Arial,Regular"&amp;8&amp;A 
(&amp;F)&amp;C&amp;"Arial,Regular"&amp;P&amp;R&amp;"Arial,Regular"&amp;9&amp;D</oddFooter>
  </headerFooter>
  <rowBreaks count="2" manualBreakCount="2">
    <brk id="72" max="16" man="1"/>
    <brk id="108"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7"/>
  </sheetPr>
  <dimension ref="B1:L44"/>
  <sheetViews>
    <sheetView zoomScale="75" zoomScaleNormal="100" workbookViewId="0">
      <selection activeCell="L12" sqref="L12"/>
    </sheetView>
  </sheetViews>
  <sheetFormatPr defaultRowHeight="15" x14ac:dyDescent="0.2"/>
  <cols>
    <col min="1" max="1" width="2.77734375" customWidth="1"/>
    <col min="2" max="2" width="14.88671875" customWidth="1"/>
    <col min="3" max="3" width="12.44140625" customWidth="1"/>
    <col min="4" max="4" width="10.5546875" customWidth="1"/>
    <col min="5" max="5" width="11.21875" customWidth="1"/>
    <col min="6" max="6" width="4.33203125" customWidth="1"/>
    <col min="7" max="7" width="7.21875" customWidth="1"/>
    <col min="8" max="8" width="20.21875" customWidth="1"/>
    <col min="9" max="9" width="8.44140625" customWidth="1"/>
    <col min="10" max="10" width="3.21875" customWidth="1"/>
    <col min="11" max="11" width="7.88671875" customWidth="1"/>
  </cols>
  <sheetData>
    <row r="1" spans="2:12" ht="19.5" x14ac:dyDescent="0.3">
      <c r="B1" s="374" t="s">
        <v>291</v>
      </c>
      <c r="C1" s="375"/>
      <c r="D1" s="375"/>
      <c r="E1" s="375"/>
    </row>
    <row r="2" spans="2:12" ht="33" customHeight="1" thickBot="1" x14ac:dyDescent="0.3">
      <c r="B2" s="373" t="s">
        <v>292</v>
      </c>
      <c r="C2" s="1722" t="s">
        <v>127</v>
      </c>
      <c r="D2" s="1723"/>
      <c r="E2" s="1723"/>
      <c r="G2" s="1031" t="s">
        <v>436</v>
      </c>
      <c r="H2" s="1031" t="s">
        <v>437</v>
      </c>
      <c r="I2" s="1032" t="s">
        <v>431</v>
      </c>
      <c r="J2" s="1033"/>
      <c r="K2" s="1034" t="s">
        <v>432</v>
      </c>
      <c r="L2" s="1035" t="s">
        <v>435</v>
      </c>
    </row>
    <row r="3" spans="2:12" x14ac:dyDescent="0.2">
      <c r="B3" s="405">
        <v>0</v>
      </c>
      <c r="C3" s="406">
        <v>470000</v>
      </c>
      <c r="D3" s="406">
        <v>0</v>
      </c>
      <c r="E3" s="735">
        <v>0.125</v>
      </c>
      <c r="G3" s="1036" t="s">
        <v>425</v>
      </c>
      <c r="H3" s="1037" t="s">
        <v>426</v>
      </c>
      <c r="I3" s="1038">
        <v>0.05</v>
      </c>
      <c r="J3" s="1036" t="s">
        <v>25</v>
      </c>
      <c r="K3" s="1039">
        <v>1</v>
      </c>
      <c r="L3" s="1040">
        <v>0.05</v>
      </c>
    </row>
    <row r="4" spans="2:12" ht="25.5" x14ac:dyDescent="0.2">
      <c r="B4" s="407">
        <v>470000</v>
      </c>
      <c r="C4" s="408">
        <v>1175000</v>
      </c>
      <c r="D4" s="408">
        <v>58750</v>
      </c>
      <c r="E4" s="736">
        <v>0.125</v>
      </c>
      <c r="G4" s="1036" t="s">
        <v>427</v>
      </c>
      <c r="H4" s="1037" t="s">
        <v>433</v>
      </c>
      <c r="I4" s="1038">
        <f>IF('Input Data'!$F$31&lt;2,0,20%)</f>
        <v>0</v>
      </c>
      <c r="J4" s="1036" t="s">
        <v>25</v>
      </c>
      <c r="K4" s="1039">
        <f>IF('Input Data'!F31=2,'Input Data'!$D$32,1)</f>
        <v>1</v>
      </c>
      <c r="L4" s="1040">
        <f>I4*K4+L3</f>
        <v>0.05</v>
      </c>
    </row>
    <row r="5" spans="2:12" ht="18" customHeight="1" x14ac:dyDescent="0.2">
      <c r="B5" s="407">
        <v>1175000</v>
      </c>
      <c r="C5" s="408">
        <v>5850000</v>
      </c>
      <c r="D5" s="408">
        <v>146875</v>
      </c>
      <c r="E5" s="736">
        <v>0.1</v>
      </c>
      <c r="G5" s="1036" t="s">
        <v>428</v>
      </c>
      <c r="H5" s="1037" t="s">
        <v>434</v>
      </c>
      <c r="I5" s="1038">
        <f>IF('Input Data'!$F$31&lt;3,0,30%)</f>
        <v>0</v>
      </c>
      <c r="J5" s="1036" t="s">
        <v>25</v>
      </c>
      <c r="K5" s="1039">
        <f>IF('Input Data'!F31=3,'Input Data'!$D$32,1)</f>
        <v>1</v>
      </c>
      <c r="L5" s="1040">
        <f>I5*K5+L4</f>
        <v>0.05</v>
      </c>
    </row>
    <row r="6" spans="2:12" ht="25.5" x14ac:dyDescent="0.2">
      <c r="B6" s="407">
        <v>5850000</v>
      </c>
      <c r="C6" s="408">
        <v>11750000</v>
      </c>
      <c r="D6" s="408">
        <v>614375</v>
      </c>
      <c r="E6" s="736">
        <v>0.09</v>
      </c>
      <c r="G6" s="1036" t="s">
        <v>429</v>
      </c>
      <c r="H6" s="1037" t="s">
        <v>430</v>
      </c>
      <c r="I6" s="1038">
        <f>IF('Input Data'!$F$31&lt;4,0,15%)</f>
        <v>0</v>
      </c>
      <c r="J6" s="1036" t="s">
        <v>25</v>
      </c>
      <c r="K6" s="1039">
        <f>IF('Input Data'!F31=4,'Input Data'!$D$32,1)</f>
        <v>1</v>
      </c>
      <c r="L6" s="1040">
        <f>I6*K6+L5</f>
        <v>0.05</v>
      </c>
    </row>
    <row r="7" spans="2:12" x14ac:dyDescent="0.2">
      <c r="B7" s="407">
        <v>11750000</v>
      </c>
      <c r="C7" s="408">
        <v>29400000</v>
      </c>
      <c r="D7" s="408">
        <v>1145375</v>
      </c>
      <c r="E7" s="736">
        <v>0.08</v>
      </c>
      <c r="G7" s="1036"/>
      <c r="H7" s="1037"/>
      <c r="I7" s="1038"/>
      <c r="J7" s="1036"/>
      <c r="K7" s="1039"/>
      <c r="L7" s="1040"/>
    </row>
    <row r="8" spans="2:12" x14ac:dyDescent="0.2">
      <c r="B8" s="407">
        <v>29400000</v>
      </c>
      <c r="C8" s="408">
        <v>58800000</v>
      </c>
      <c r="D8" s="408">
        <v>2557375</v>
      </c>
      <c r="E8" s="736">
        <v>0.06</v>
      </c>
      <c r="G8" s="1036"/>
      <c r="H8" s="1037"/>
      <c r="I8" s="1038"/>
      <c r="J8" s="1036"/>
      <c r="K8" s="1039"/>
      <c r="L8" s="1040"/>
    </row>
    <row r="9" spans="2:12" x14ac:dyDescent="0.2">
      <c r="B9" s="407">
        <v>58800000</v>
      </c>
      <c r="C9" s="408">
        <v>352750000</v>
      </c>
      <c r="D9" s="408">
        <v>4321375</v>
      </c>
      <c r="E9" s="736">
        <v>5.5E-2</v>
      </c>
      <c r="G9" s="531"/>
      <c r="H9" s="531"/>
      <c r="I9" s="531"/>
      <c r="J9" s="531"/>
      <c r="K9" s="531"/>
      <c r="L9" s="531"/>
    </row>
    <row r="10" spans="2:12" ht="15.75" customHeight="1" thickBot="1" x14ac:dyDescent="0.25">
      <c r="B10" s="409">
        <v>352750000</v>
      </c>
      <c r="C10" s="441">
        <v>900000000</v>
      </c>
      <c r="D10" s="410">
        <v>20488625</v>
      </c>
      <c r="E10" s="734">
        <v>0.05</v>
      </c>
      <c r="G10" s="1026"/>
      <c r="H10" s="1026"/>
      <c r="I10" s="1026"/>
      <c r="J10" s="1026"/>
      <c r="K10" s="1026"/>
      <c r="L10" s="1026"/>
    </row>
    <row r="11" spans="2:12" ht="15.75" thickTop="1" x14ac:dyDescent="0.2">
      <c r="B11" s="375"/>
      <c r="C11" s="375"/>
      <c r="D11" s="375"/>
      <c r="E11" s="375"/>
      <c r="G11" s="1022"/>
      <c r="H11" s="1095" t="s">
        <v>426</v>
      </c>
      <c r="I11" s="1096">
        <v>5</v>
      </c>
    </row>
    <row r="12" spans="2:12" ht="25.5" x14ac:dyDescent="0.2">
      <c r="G12" s="1022"/>
      <c r="H12" s="1097" t="s">
        <v>433</v>
      </c>
      <c r="I12" s="1098">
        <v>20</v>
      </c>
    </row>
    <row r="13" spans="2:12" ht="36" customHeight="1" thickBot="1" x14ac:dyDescent="0.3">
      <c r="B13" s="376" t="s">
        <v>293</v>
      </c>
      <c r="C13" s="1724" t="s">
        <v>128</v>
      </c>
      <c r="D13" s="1725"/>
      <c r="E13" s="1725"/>
      <c r="G13" s="2"/>
      <c r="H13" s="1097" t="s">
        <v>438</v>
      </c>
      <c r="I13" s="1098">
        <v>30</v>
      </c>
    </row>
    <row r="14" spans="2:12" ht="25.5" x14ac:dyDescent="0.2">
      <c r="B14" s="411">
        <v>0</v>
      </c>
      <c r="C14" s="443">
        <v>470000</v>
      </c>
      <c r="D14" s="412">
        <v>0</v>
      </c>
      <c r="E14" s="732">
        <v>0.05</v>
      </c>
      <c r="G14" s="2"/>
      <c r="H14" s="1097" t="s">
        <v>430</v>
      </c>
      <c r="I14" s="1098">
        <v>15</v>
      </c>
    </row>
    <row r="15" spans="2:12" ht="25.5" x14ac:dyDescent="0.2">
      <c r="B15" s="407">
        <v>470000</v>
      </c>
      <c r="C15" s="408">
        <v>1175000</v>
      </c>
      <c r="D15" s="413">
        <v>23500</v>
      </c>
      <c r="E15" s="733">
        <v>0.05</v>
      </c>
      <c r="G15" s="2"/>
      <c r="H15" s="1043" t="s">
        <v>439</v>
      </c>
      <c r="I15" s="1041">
        <v>25</v>
      </c>
    </row>
    <row r="16" spans="2:12" ht="15.75" thickBot="1" x14ac:dyDescent="0.25">
      <c r="B16" s="407">
        <v>1175000</v>
      </c>
      <c r="C16" s="408">
        <v>5850000</v>
      </c>
      <c r="D16" s="413">
        <v>58750</v>
      </c>
      <c r="E16" s="733">
        <v>4.4999999999999998E-2</v>
      </c>
      <c r="G16" s="2"/>
      <c r="H16" s="1044" t="s">
        <v>440</v>
      </c>
      <c r="I16" s="1042">
        <v>5</v>
      </c>
    </row>
    <row r="17" spans="2:8" ht="15.75" thickTop="1" x14ac:dyDescent="0.2">
      <c r="B17" s="407">
        <v>5850000</v>
      </c>
      <c r="C17" s="408">
        <v>11750000</v>
      </c>
      <c r="D17" s="413">
        <v>269125</v>
      </c>
      <c r="E17" s="733">
        <v>0.04</v>
      </c>
      <c r="G17" s="2"/>
      <c r="H17" s="1023"/>
    </row>
    <row r="18" spans="2:8" x14ac:dyDescent="0.2">
      <c r="B18" s="407">
        <v>11750000</v>
      </c>
      <c r="C18" s="408">
        <v>29400000</v>
      </c>
      <c r="D18" s="413">
        <v>505125</v>
      </c>
      <c r="E18" s="733">
        <v>0.03</v>
      </c>
      <c r="G18" s="2"/>
      <c r="H18" s="1023"/>
    </row>
    <row r="19" spans="2:8" x14ac:dyDescent="0.2">
      <c r="B19" s="407">
        <v>29400000</v>
      </c>
      <c r="C19" s="408">
        <v>58800000</v>
      </c>
      <c r="D19" s="413">
        <v>1034625</v>
      </c>
      <c r="E19" s="733">
        <v>0.02</v>
      </c>
      <c r="G19" s="1022"/>
      <c r="H19" s="1023"/>
    </row>
    <row r="20" spans="2:8" x14ac:dyDescent="0.2">
      <c r="B20" s="407">
        <v>58800000</v>
      </c>
      <c r="C20" s="408">
        <v>352750000</v>
      </c>
      <c r="D20" s="413">
        <v>1622625</v>
      </c>
      <c r="E20" s="733">
        <v>1.4999999999999999E-2</v>
      </c>
      <c r="G20" s="1022"/>
      <c r="H20" s="1023"/>
    </row>
    <row r="21" spans="2:8" ht="15" customHeight="1" thickBot="1" x14ac:dyDescent="0.25">
      <c r="B21" s="409">
        <v>352750000</v>
      </c>
      <c r="C21" s="441">
        <v>900000000</v>
      </c>
      <c r="D21" s="414">
        <v>6031875</v>
      </c>
      <c r="E21" s="734">
        <v>1.4999999999999999E-2</v>
      </c>
      <c r="G21" s="1024"/>
      <c r="H21" s="1023"/>
    </row>
    <row r="22" spans="2:8" ht="18" customHeight="1" x14ac:dyDescent="0.2">
      <c r="G22" s="1024"/>
      <c r="H22" s="1023"/>
    </row>
    <row r="23" spans="2:8" x14ac:dyDescent="0.2">
      <c r="G23" s="1024"/>
      <c r="H23" s="1023"/>
    </row>
    <row r="24" spans="2:8" x14ac:dyDescent="0.2">
      <c r="G24" s="1024"/>
      <c r="H24" s="1023"/>
    </row>
    <row r="25" spans="2:8" x14ac:dyDescent="0.2">
      <c r="G25" s="1024"/>
      <c r="H25" s="1023"/>
    </row>
    <row r="26" spans="2:8" x14ac:dyDescent="0.2">
      <c r="G26" s="1025"/>
      <c r="H26" s="1023"/>
    </row>
    <row r="27" spans="2:8" x14ac:dyDescent="0.2">
      <c r="G27" s="2"/>
      <c r="H27" s="2"/>
    </row>
    <row r="28" spans="2:8" x14ac:dyDescent="0.2">
      <c r="G28" s="2"/>
      <c r="H28" s="2"/>
    </row>
    <row r="29" spans="2:8" ht="15.75" customHeight="1" x14ac:dyDescent="0.2">
      <c r="G29" s="2"/>
      <c r="H29" s="2"/>
    </row>
    <row r="30" spans="2:8" ht="15.75" customHeight="1" x14ac:dyDescent="0.2">
      <c r="G30" s="2"/>
      <c r="H30" s="2"/>
    </row>
    <row r="31" spans="2:8" ht="15" customHeight="1" x14ac:dyDescent="0.2">
      <c r="G31" s="2"/>
      <c r="H31" s="2"/>
    </row>
    <row r="32" spans="2:8" ht="15" customHeight="1" x14ac:dyDescent="0.2">
      <c r="G32" s="2"/>
      <c r="H32" s="2"/>
    </row>
    <row r="33" spans="7:8" x14ac:dyDescent="0.2">
      <c r="G33" s="2"/>
      <c r="H33" s="2"/>
    </row>
    <row r="34" spans="7:8" ht="15.75" customHeight="1" x14ac:dyDescent="0.2">
      <c r="G34" s="2"/>
      <c r="H34" s="2"/>
    </row>
    <row r="35" spans="7:8" x14ac:dyDescent="0.2">
      <c r="G35" s="2"/>
      <c r="H35" s="2"/>
    </row>
    <row r="36" spans="7:8" x14ac:dyDescent="0.2">
      <c r="G36" s="2"/>
      <c r="H36" s="2"/>
    </row>
    <row r="37" spans="7:8" x14ac:dyDescent="0.2">
      <c r="G37" s="2"/>
      <c r="H37" s="2"/>
    </row>
    <row r="38" spans="7:8" x14ac:dyDescent="0.2">
      <c r="G38" s="2"/>
      <c r="H38" s="2"/>
    </row>
    <row r="39" spans="7:8" x14ac:dyDescent="0.2">
      <c r="G39" s="2"/>
      <c r="H39" s="2"/>
    </row>
    <row r="40" spans="7:8" x14ac:dyDescent="0.2">
      <c r="G40" s="2"/>
      <c r="H40" s="2"/>
    </row>
    <row r="41" spans="7:8" x14ac:dyDescent="0.2">
      <c r="G41" s="2"/>
      <c r="H41" s="2"/>
    </row>
    <row r="42" spans="7:8" x14ac:dyDescent="0.2">
      <c r="G42" s="2"/>
      <c r="H42" s="2"/>
    </row>
    <row r="43" spans="7:8" x14ac:dyDescent="0.2">
      <c r="G43" s="2"/>
      <c r="H43" s="2"/>
    </row>
    <row r="44" spans="7:8" x14ac:dyDescent="0.2">
      <c r="G44" s="2"/>
      <c r="H44" s="2"/>
    </row>
  </sheetData>
  <sheetProtection password="CD4C" sheet="1" objects="1" scenarios="1"/>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2:E2"/>
    <mergeCell ref="C13:E13"/>
  </mergeCells>
  <phoneticPr fontId="0" type="noConversion"/>
  <pageMargins left="0.75" right="0.75" top="1" bottom="1" header="0.5" footer="0.5"/>
  <pageSetup paperSize="9" scale="91"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30"/>
  <sheetViews>
    <sheetView zoomScale="75" zoomScaleNormal="75" zoomScaleSheetLayoutView="70" workbookViewId="0">
      <selection activeCell="C7" sqref="C6:C7"/>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159"/>
      <c r="B1" s="126"/>
      <c r="C1" s="126"/>
      <c r="D1" s="126"/>
      <c r="E1" s="126"/>
      <c r="F1" s="126"/>
      <c r="G1" s="126"/>
      <c r="H1" s="127"/>
    </row>
    <row r="2" spans="1:10" ht="27.75" customHeight="1" x14ac:dyDescent="0.2">
      <c r="A2" s="128"/>
      <c r="D2" s="1749" t="s">
        <v>143</v>
      </c>
      <c r="E2" s="1750"/>
      <c r="F2" s="1750"/>
      <c r="G2" s="1750"/>
      <c r="H2" s="130"/>
    </row>
    <row r="3" spans="1:10" ht="28.5" customHeight="1" x14ac:dyDescent="0.2">
      <c r="A3" s="128"/>
      <c r="D3" s="1750"/>
      <c r="E3" s="1750"/>
      <c r="F3" s="1750"/>
      <c r="G3" s="1750"/>
      <c r="H3" s="130"/>
    </row>
    <row r="4" spans="1:10" ht="31.5" customHeight="1" x14ac:dyDescent="0.2">
      <c r="A4" s="682"/>
      <c r="B4" s="1083"/>
      <c r="C4" s="1083"/>
      <c r="D4" s="664" t="str">
        <f>'Input Data'!E2</f>
        <v xml:space="preserve">CIVIL &amp; STRUCTURAL ENGINEERING  </v>
      </c>
      <c r="E4" s="1083"/>
      <c r="F4" s="158"/>
      <c r="G4" s="271" t="s">
        <v>141</v>
      </c>
      <c r="H4" s="663">
        <f>'Input Data'!D27</f>
        <v>0</v>
      </c>
    </row>
    <row r="5" spans="1:10" ht="29.25" customHeight="1" x14ac:dyDescent="0.2">
      <c r="A5" s="128"/>
      <c r="B5" s="158"/>
      <c r="C5" s="158"/>
      <c r="D5" s="664" t="str">
        <f>'Input Data'!E3</f>
        <v>ENGINEERING PROJECT:  2010 NDPW FEES</v>
      </c>
      <c r="E5" s="158"/>
      <c r="F5" s="124"/>
      <c r="G5" s="124"/>
      <c r="H5" s="680" t="str">
        <f>'Input Data'!H3</f>
        <v>Version: 1.5  2012-10</v>
      </c>
      <c r="I5" s="645"/>
    </row>
    <row r="6" spans="1:10" x14ac:dyDescent="0.2">
      <c r="A6" s="682"/>
      <c r="C6" s="124"/>
      <c r="D6" s="124"/>
      <c r="E6" s="124"/>
      <c r="F6" s="124"/>
      <c r="G6" s="124"/>
      <c r="H6" s="130"/>
    </row>
    <row r="7" spans="1:10" x14ac:dyDescent="0.2">
      <c r="A7" s="128"/>
      <c r="B7" s="124"/>
      <c r="C7" s="124"/>
      <c r="D7" s="124"/>
      <c r="E7" s="124"/>
      <c r="F7" s="124"/>
      <c r="G7" s="124"/>
      <c r="H7" s="130"/>
    </row>
    <row r="8" spans="1:10" x14ac:dyDescent="0.2">
      <c r="A8" s="128"/>
      <c r="B8" s="124"/>
      <c r="C8" s="124"/>
      <c r="D8" s="124"/>
      <c r="E8" s="545"/>
      <c r="F8" s="124"/>
      <c r="G8" s="545"/>
      <c r="H8" s="130"/>
    </row>
    <row r="9" spans="1:10" ht="18" x14ac:dyDescent="0.2">
      <c r="A9" s="1756" t="s">
        <v>299</v>
      </c>
      <c r="B9" s="1757"/>
      <c r="C9" s="1758">
        <f>'Input Data'!D5</f>
        <v>0</v>
      </c>
      <c r="D9" s="1759"/>
      <c r="E9" s="545"/>
      <c r="F9" s="1728" t="str">
        <f>'Input Data'!D31</f>
        <v>INCEPTION</v>
      </c>
      <c r="G9" s="1729"/>
      <c r="H9" s="681" t="s">
        <v>145</v>
      </c>
      <c r="I9" s="27"/>
    </row>
    <row r="10" spans="1:10" ht="19.5" x14ac:dyDescent="0.2">
      <c r="A10" s="400"/>
      <c r="B10" s="1726" t="s">
        <v>19</v>
      </c>
      <c r="C10" s="1727"/>
      <c r="D10" s="1727"/>
      <c r="E10" s="1106">
        <f>'Input Data'!$D$28</f>
        <v>0</v>
      </c>
      <c r="F10" s="124"/>
      <c r="G10" s="124"/>
      <c r="H10" s="444"/>
      <c r="I10" s="27"/>
    </row>
    <row r="11" spans="1:10" ht="15.75" x14ac:dyDescent="0.2">
      <c r="A11" s="1756" t="s">
        <v>382</v>
      </c>
      <c r="B11" s="1762"/>
      <c r="C11" s="1751">
        <f>'Input Data'!D12</f>
        <v>0</v>
      </c>
      <c r="D11" s="1752"/>
      <c r="E11" s="1752"/>
      <c r="F11" s="1752"/>
      <c r="G11" s="483"/>
      <c r="H11" s="618"/>
    </row>
    <row r="12" spans="1:10" ht="24" customHeight="1" x14ac:dyDescent="0.2">
      <c r="A12" s="270" t="s">
        <v>286</v>
      </c>
      <c r="B12" s="1760">
        <f>'Input Data'!D11</f>
        <v>0</v>
      </c>
      <c r="C12" s="1761"/>
      <c r="D12" s="1761"/>
      <c r="E12" s="1761"/>
      <c r="F12" s="1761"/>
      <c r="G12" s="1761"/>
      <c r="H12" s="401"/>
    </row>
    <row r="13" spans="1:10" ht="15.75" thickBot="1" x14ac:dyDescent="0.25">
      <c r="A13" s="128"/>
      <c r="B13" s="124"/>
      <c r="C13" s="124"/>
      <c r="D13" s="124"/>
      <c r="E13" s="124"/>
      <c r="F13" s="545"/>
      <c r="G13" s="124"/>
      <c r="H13" s="130"/>
    </row>
    <row r="14" spans="1:10" ht="93.75" customHeight="1" thickTop="1" thickBot="1" x14ac:dyDescent="0.25">
      <c r="A14" s="1753" t="s">
        <v>404</v>
      </c>
      <c r="B14" s="1754"/>
      <c r="C14" s="1754"/>
      <c r="D14" s="1755"/>
      <c r="E14" s="1048" t="s">
        <v>406</v>
      </c>
      <c r="F14" s="1049" t="s">
        <v>407</v>
      </c>
      <c r="G14" s="1050" t="s">
        <v>408</v>
      </c>
      <c r="H14" s="665" t="s">
        <v>150</v>
      </c>
    </row>
    <row r="15" spans="1:10" ht="39.950000000000003" customHeight="1" thickTop="1" x14ac:dyDescent="0.2">
      <c r="A15" s="1475" t="s">
        <v>207</v>
      </c>
      <c r="B15" s="1476"/>
      <c r="C15" s="1476"/>
      <c r="D15" s="1476"/>
      <c r="E15" s="1051"/>
      <c r="F15" s="1052"/>
      <c r="G15" s="1053"/>
      <c r="H15" s="964">
        <f>IF('Input Data'!$E$9="e",IF('Input Data'!$F$31&lt;5,E15,IF('Input Data'!$F$31=5,F15,IF('Input Data'!$F$31=6,G15))))</f>
        <v>0</v>
      </c>
      <c r="J15" s="3"/>
    </row>
    <row r="16" spans="1:10" ht="39.950000000000003" customHeight="1" x14ac:dyDescent="0.2">
      <c r="A16" s="1468" t="s">
        <v>193</v>
      </c>
      <c r="B16" s="1471"/>
      <c r="C16" s="1471"/>
      <c r="D16" s="1471"/>
      <c r="E16" s="1051"/>
      <c r="F16" s="1052"/>
      <c r="G16" s="1053"/>
      <c r="H16" s="965">
        <f>IF('Input Data'!$E$9="e",IF('Input Data'!$F$31&lt;5,E16,IF('Input Data'!$F$31=5,F16,IF('Input Data'!$F$31=6,G16))))</f>
        <v>0</v>
      </c>
      <c r="J16" s="3"/>
    </row>
    <row r="17" spans="1:10" ht="39.950000000000003" customHeight="1" x14ac:dyDescent="0.2">
      <c r="A17" s="1468" t="s">
        <v>201</v>
      </c>
      <c r="B17" s="1469"/>
      <c r="C17" s="1469"/>
      <c r="D17" s="1469"/>
      <c r="E17" s="1051"/>
      <c r="F17" s="1052"/>
      <c r="G17" s="1053"/>
      <c r="H17" s="965">
        <f>IF('Input Data'!$E$9="e",IF('Input Data'!$F$31&lt;5,E17,IF('Input Data'!$F$31=5,F17,IF('Input Data'!$F$31=6,G17))))</f>
        <v>0</v>
      </c>
      <c r="J17" s="3"/>
    </row>
    <row r="18" spans="1:10" ht="51" customHeight="1" x14ac:dyDescent="0.2">
      <c r="A18" s="1468" t="s">
        <v>194</v>
      </c>
      <c r="B18" s="1471"/>
      <c r="C18" s="1471"/>
      <c r="D18" s="1471"/>
      <c r="E18" s="1051"/>
      <c r="F18" s="1052"/>
      <c r="G18" s="1053"/>
      <c r="H18" s="965">
        <f>IF('Input Data'!$E$9="e",IF('Input Data'!$F$31&lt;5,E18,IF('Input Data'!$F$31=5,F18,IF('Input Data'!$F$31=6,G18))))</f>
        <v>0</v>
      </c>
      <c r="J18" s="3"/>
    </row>
    <row r="19" spans="1:10" ht="48" customHeight="1" x14ac:dyDescent="0.2">
      <c r="A19" s="1468" t="s">
        <v>202</v>
      </c>
      <c r="B19" s="1469"/>
      <c r="C19" s="1469"/>
      <c r="D19" s="1469"/>
      <c r="E19" s="1051"/>
      <c r="F19" s="1052"/>
      <c r="G19" s="1053"/>
      <c r="H19" s="965">
        <f>IF('Input Data'!$E$9="e",IF('Input Data'!$F$31&lt;5,E19,IF('Input Data'!$F$31=5,F19,IF('Input Data'!$F$31=6,G19))))</f>
        <v>0</v>
      </c>
      <c r="J19" s="3"/>
    </row>
    <row r="20" spans="1:10" ht="49.5" customHeight="1" x14ac:dyDescent="0.2">
      <c r="A20" s="1468" t="s">
        <v>195</v>
      </c>
      <c r="B20" s="1469"/>
      <c r="C20" s="1469"/>
      <c r="D20" s="1469"/>
      <c r="E20" s="1051"/>
      <c r="F20" s="1052"/>
      <c r="G20" s="1053"/>
      <c r="H20" s="965">
        <f>IF('Input Data'!$E$9="e",IF('Input Data'!$F$31&lt;5,E20,IF('Input Data'!$F$31=5,F20,IF('Input Data'!$F$31=6,G20))))</f>
        <v>0</v>
      </c>
      <c r="J20" s="3"/>
    </row>
    <row r="21" spans="1:10" ht="39.950000000000003" customHeight="1" x14ac:dyDescent="0.2">
      <c r="A21" s="1468" t="s">
        <v>204</v>
      </c>
      <c r="B21" s="1469"/>
      <c r="C21" s="1469"/>
      <c r="D21" s="1469"/>
      <c r="E21" s="1051"/>
      <c r="F21" s="1052"/>
      <c r="G21" s="1053"/>
      <c r="H21" s="965">
        <f>IF('Input Data'!$E$9="e",IF('Input Data'!$F$31&lt;5,E21,IF('Input Data'!$F$31=5,F21,IF('Input Data'!$F$31=6,G21))))</f>
        <v>0</v>
      </c>
      <c r="J21" s="3"/>
    </row>
    <row r="22" spans="1:10" ht="48" customHeight="1" thickBot="1" x14ac:dyDescent="0.25">
      <c r="A22" s="1475" t="s">
        <v>203</v>
      </c>
      <c r="B22" s="1576"/>
      <c r="C22" s="1576"/>
      <c r="D22" s="1576"/>
      <c r="E22" s="1051"/>
      <c r="F22" s="1052"/>
      <c r="G22" s="1053"/>
      <c r="H22" s="966">
        <f>IF('Input Data'!$E$9="e",IF('Input Data'!$F$31&lt;5,E22,IF('Input Data'!$F$31=5,F22,IF('Input Data'!$F$31=6,G22))))</f>
        <v>0</v>
      </c>
      <c r="J22" s="3"/>
    </row>
    <row r="23" spans="1:10" ht="51" customHeight="1" thickBot="1" x14ac:dyDescent="0.25">
      <c r="A23" s="1730" t="s">
        <v>307</v>
      </c>
      <c r="B23" s="1731"/>
      <c r="C23" s="1731"/>
      <c r="D23" s="1740"/>
      <c r="E23" s="1054">
        <f>SUM(E15:E22)</f>
        <v>0</v>
      </c>
      <c r="F23" s="1055">
        <f>SUM(F15:F22)</f>
        <v>0</v>
      </c>
      <c r="G23" s="1056">
        <f>SUM(G15:G22)</f>
        <v>0</v>
      </c>
      <c r="H23" s="967">
        <f>SUM(H15:H22)</f>
        <v>0</v>
      </c>
    </row>
    <row r="24" spans="1:10" ht="41.25" customHeight="1" thickTop="1" thickBot="1" x14ac:dyDescent="0.25">
      <c r="A24" s="1741" t="str">
        <f>IF(C28=6,IF(H23=H29,"","THE VALUE OF ( C) MUST BE THE SAME AS (D)"),"")</f>
        <v/>
      </c>
      <c r="B24" s="1742"/>
      <c r="C24" s="1742"/>
      <c r="D24" s="1743"/>
      <c r="E24" s="1743"/>
      <c r="F24" s="547"/>
      <c r="G24" s="547"/>
      <c r="H24" s="548"/>
    </row>
    <row r="25" spans="1:10" ht="15.75" thickBot="1" x14ac:dyDescent="0.25">
      <c r="A25" s="1734"/>
      <c r="B25" s="1735"/>
      <c r="C25" s="1735"/>
      <c r="D25" s="1735"/>
      <c r="E25" s="319"/>
      <c r="F25" s="320"/>
      <c r="G25" s="321"/>
      <c r="H25" s="322"/>
    </row>
    <row r="26" spans="1:10" ht="63" customHeight="1" thickTop="1" thickBot="1" x14ac:dyDescent="0.25">
      <c r="A26" s="1736" t="s">
        <v>405</v>
      </c>
      <c r="B26" s="1737"/>
      <c r="C26" s="1737"/>
      <c r="D26" s="1738"/>
      <c r="E26" s="1739"/>
      <c r="F26" s="1739"/>
      <c r="G26" s="653" t="s">
        <v>312</v>
      </c>
      <c r="H26" s="666" t="s">
        <v>150</v>
      </c>
    </row>
    <row r="27" spans="1:10" ht="42" customHeight="1" thickTop="1" x14ac:dyDescent="0.2">
      <c r="A27" s="1580" t="s">
        <v>196</v>
      </c>
      <c r="B27" s="1581"/>
      <c r="C27" s="1581"/>
      <c r="D27" s="1581"/>
      <c r="E27" s="1744"/>
      <c r="F27" s="1745"/>
      <c r="G27" s="968"/>
      <c r="H27" s="969">
        <f>IF('Input Data'!$F$31&gt;4,G27,0)</f>
        <v>0</v>
      </c>
    </row>
    <row r="28" spans="1:10" ht="40.5" customHeight="1" thickBot="1" x14ac:dyDescent="0.25">
      <c r="A28" s="1746" t="s">
        <v>205</v>
      </c>
      <c r="B28" s="1747"/>
      <c r="C28" s="1747"/>
      <c r="D28" s="1747"/>
      <c r="E28" s="1748"/>
      <c r="F28" s="1748"/>
      <c r="G28" s="970"/>
      <c r="H28" s="971">
        <f>IF('Input Data'!$F$31&gt;4,G28,0)</f>
        <v>0</v>
      </c>
    </row>
    <row r="29" spans="1:10" ht="44.25" customHeight="1" thickBot="1" x14ac:dyDescent="0.25">
      <c r="A29" s="1730" t="s">
        <v>308</v>
      </c>
      <c r="B29" s="1731"/>
      <c r="C29" s="1731"/>
      <c r="D29" s="1732"/>
      <c r="E29" s="1733"/>
      <c r="F29" s="1733"/>
      <c r="G29" s="972">
        <f>G27+G28</f>
        <v>0</v>
      </c>
      <c r="H29" s="973">
        <f>H27+H28</f>
        <v>0</v>
      </c>
    </row>
    <row r="30" spans="1:10" ht="15.75" thickTop="1" x14ac:dyDescent="0.2"/>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24">
    <mergeCell ref="D2:G3"/>
    <mergeCell ref="A15:D15"/>
    <mergeCell ref="A16:D16"/>
    <mergeCell ref="A18:D18"/>
    <mergeCell ref="C11:F11"/>
    <mergeCell ref="A14:D14"/>
    <mergeCell ref="A9:B9"/>
    <mergeCell ref="C9:D9"/>
    <mergeCell ref="B12:G12"/>
    <mergeCell ref="A11:B11"/>
    <mergeCell ref="A17:D17"/>
    <mergeCell ref="A19:D19"/>
    <mergeCell ref="A20:D20"/>
    <mergeCell ref="B10:D10"/>
    <mergeCell ref="F9:G9"/>
    <mergeCell ref="A29:F29"/>
    <mergeCell ref="A25:D25"/>
    <mergeCell ref="A26:F26"/>
    <mergeCell ref="A21:D21"/>
    <mergeCell ref="A22:D22"/>
    <mergeCell ref="A23:D23"/>
    <mergeCell ref="A24:E24"/>
    <mergeCell ref="A27:F27"/>
    <mergeCell ref="A28:F28"/>
  </mergeCells>
  <phoneticPr fontId="0" type="noConversion"/>
  <printOptions horizontalCentered="1"/>
  <pageMargins left="0.74803149606299213" right="0.74803149606299213" top="0.78740157480314965" bottom="0.78740157480314965" header="0.51181102362204722" footer="0.51181102362204722"/>
  <pageSetup paperSize="8" scale="61" orientation="portrait" r:id="rId2"/>
  <headerFooter alignWithMargins="0">
    <oddFooter>&amp;L&amp;8&amp;A(&amp;F)&amp;C&amp;P&amp;R&amp;8&amp;D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U58"/>
  <sheetViews>
    <sheetView zoomScale="70" zoomScaleNormal="75" zoomScaleSheetLayoutView="75" workbookViewId="0">
      <selection activeCell="I27" sqref="I27"/>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21" ht="27" customHeight="1" thickTop="1" x14ac:dyDescent="0.2">
      <c r="A1" s="509"/>
      <c r="B1" s="631"/>
      <c r="C1" s="631"/>
      <c r="D1" s="631"/>
      <c r="E1" s="1765" t="s">
        <v>335</v>
      </c>
      <c r="F1" s="1765"/>
      <c r="G1" s="1765"/>
      <c r="H1" s="1765"/>
      <c r="I1" s="1765"/>
      <c r="J1" s="1765"/>
      <c r="K1" s="1765"/>
      <c r="L1" s="1765"/>
      <c r="M1" s="1765"/>
      <c r="N1" s="1765"/>
      <c r="O1" s="1765"/>
      <c r="P1" s="1765"/>
      <c r="Q1" s="1765"/>
      <c r="R1" s="1765"/>
      <c r="S1" s="1766"/>
    </row>
    <row r="2" spans="1:21" ht="27" customHeight="1" x14ac:dyDescent="0.2">
      <c r="A2" s="512"/>
      <c r="B2" s="632"/>
      <c r="C2" s="632"/>
      <c r="D2" s="632"/>
      <c r="E2" s="160"/>
      <c r="F2" s="161"/>
      <c r="G2" s="161"/>
      <c r="H2" s="161"/>
      <c r="I2" s="461" t="str">
        <f>'Input Data'!E2</f>
        <v xml:space="preserve">CIVIL &amp; STRUCTURAL ENGINEERING  </v>
      </c>
      <c r="K2" s="461"/>
      <c r="L2" s="461"/>
      <c r="M2" s="461"/>
      <c r="N2" s="461"/>
      <c r="O2" s="461"/>
      <c r="P2" s="461"/>
      <c r="Q2" s="124"/>
      <c r="R2" s="124"/>
      <c r="S2" s="130"/>
    </row>
    <row r="3" spans="1:21" ht="27" customHeight="1" x14ac:dyDescent="0.2">
      <c r="A3" s="633"/>
      <c r="B3" s="634"/>
      <c r="C3" s="634"/>
      <c r="D3" s="634"/>
      <c r="E3" s="162"/>
      <c r="F3" s="131"/>
      <c r="G3" s="131"/>
      <c r="H3" s="131"/>
      <c r="I3" s="131"/>
      <c r="J3" s="131"/>
      <c r="K3" s="1769" t="str">
        <f>'Input Data'!E3</f>
        <v>ENGINEERING PROJECT:  2010 NDPW FEES</v>
      </c>
      <c r="L3" s="1770"/>
      <c r="M3" s="1770"/>
      <c r="N3" s="1770"/>
      <c r="O3" s="1770"/>
      <c r="P3" s="1771"/>
      <c r="Q3" s="1771"/>
      <c r="R3" s="29"/>
      <c r="S3" s="685" t="str">
        <f>'Input Data'!H3</f>
        <v>Version: 1.5  2012-10</v>
      </c>
    </row>
    <row r="4" spans="1:21" ht="27" customHeight="1" x14ac:dyDescent="0.2">
      <c r="A4" s="128"/>
      <c r="B4" s="124"/>
      <c r="C4" s="29"/>
      <c r="D4" s="29"/>
      <c r="E4" s="29"/>
      <c r="F4" s="29"/>
      <c r="G4" s="29"/>
      <c r="H4" s="29"/>
      <c r="I4" s="29"/>
      <c r="J4" s="29"/>
      <c r="K4" s="124"/>
      <c r="L4" s="124"/>
      <c r="M4" s="124"/>
      <c r="N4" s="124"/>
      <c r="O4" s="124"/>
      <c r="P4" s="124"/>
      <c r="Q4" s="124"/>
      <c r="R4" s="430"/>
      <c r="S4" s="431"/>
    </row>
    <row r="5" spans="1:21" ht="20.25" customHeight="1" x14ac:dyDescent="0.2">
      <c r="A5" s="447"/>
      <c r="B5" s="382" t="s">
        <v>19</v>
      </c>
      <c r="C5" s="1106">
        <f>'Input Data'!$D$28</f>
        <v>0</v>
      </c>
      <c r="D5" s="271"/>
      <c r="E5" s="124"/>
      <c r="F5" s="635"/>
      <c r="G5" s="124"/>
      <c r="H5" s="635"/>
      <c r="I5" s="635"/>
      <c r="J5" s="635"/>
      <c r="K5" s="635"/>
      <c r="L5" s="19"/>
      <c r="M5" s="19"/>
      <c r="N5" s="19"/>
      <c r="O5" s="124"/>
      <c r="P5" s="22"/>
      <c r="Q5" s="22"/>
      <c r="R5" s="385" t="s">
        <v>141</v>
      </c>
      <c r="S5" s="686">
        <f>'Input Data'!D27</f>
        <v>0</v>
      </c>
      <c r="T5" s="674"/>
      <c r="U5" s="421"/>
    </row>
    <row r="6" spans="1:21" ht="18" x14ac:dyDescent="0.2">
      <c r="A6" s="399" t="s">
        <v>298</v>
      </c>
      <c r="B6" s="1767">
        <f>'Input Data'!D5</f>
        <v>0</v>
      </c>
      <c r="C6" s="1768"/>
      <c r="D6" s="1768"/>
      <c r="E6" s="398"/>
      <c r="F6" s="398"/>
      <c r="G6" s="398"/>
      <c r="H6" s="398"/>
      <c r="I6" s="1772" t="str">
        <f>'Input Data'!D31</f>
        <v>INCEPTION</v>
      </c>
      <c r="J6" s="1773"/>
      <c r="K6" s="1773"/>
      <c r="L6" s="1773"/>
      <c r="M6" s="1773"/>
      <c r="N6" s="1773"/>
      <c r="O6" s="1774"/>
      <c r="P6" s="687" t="s">
        <v>145</v>
      </c>
      <c r="Q6" s="669"/>
      <c r="R6" s="19"/>
      <c r="S6" s="107"/>
    </row>
    <row r="7" spans="1:21" x14ac:dyDescent="0.2">
      <c r="A7" s="128"/>
      <c r="B7" s="124"/>
      <c r="C7" s="124"/>
      <c r="D7" s="672"/>
      <c r="E7" s="672"/>
      <c r="F7" s="672"/>
      <c r="G7" s="672"/>
      <c r="H7" s="672"/>
      <c r="I7" s="672"/>
      <c r="J7" s="672"/>
      <c r="K7" s="672"/>
      <c r="L7" s="672"/>
      <c r="M7" s="672"/>
      <c r="N7" s="672"/>
      <c r="O7" s="672"/>
      <c r="P7" s="672"/>
      <c r="Q7" s="672"/>
      <c r="R7" s="672"/>
      <c r="S7" s="673"/>
    </row>
    <row r="8" spans="1:21" ht="22.5" customHeight="1" x14ac:dyDescent="0.2">
      <c r="A8" s="399" t="s">
        <v>20</v>
      </c>
      <c r="B8" s="1763">
        <f>'Input Data'!D11</f>
        <v>0</v>
      </c>
      <c r="C8" s="1764"/>
      <c r="D8" s="1764"/>
      <c r="E8" s="1764"/>
      <c r="F8" s="1764"/>
      <c r="G8" s="1764"/>
      <c r="H8" s="1764"/>
      <c r="I8" s="1764"/>
      <c r="J8" s="1764"/>
      <c r="K8" s="1764"/>
      <c r="L8" s="1764"/>
      <c r="M8" s="1764"/>
      <c r="N8" s="1764"/>
      <c r="O8" s="1764"/>
      <c r="P8" s="1764"/>
      <c r="Q8" s="1764"/>
      <c r="R8" s="1764"/>
      <c r="S8" s="429"/>
    </row>
    <row r="9" spans="1:21" ht="22.5" customHeight="1" x14ac:dyDescent="0.2">
      <c r="A9" s="399"/>
      <c r="B9" s="684"/>
      <c r="C9" s="670"/>
      <c r="D9" s="670"/>
      <c r="E9" s="670"/>
      <c r="F9" s="670"/>
      <c r="G9" s="670"/>
      <c r="H9" s="670"/>
      <c r="I9" s="670"/>
      <c r="J9" s="670"/>
      <c r="K9" s="670"/>
      <c r="L9" s="670"/>
      <c r="M9" s="670"/>
      <c r="N9" s="670"/>
      <c r="O9" s="670"/>
      <c r="P9" s="670"/>
      <c r="Q9" s="670"/>
      <c r="R9" s="670"/>
      <c r="S9" s="429"/>
    </row>
    <row r="10" spans="1:21" x14ac:dyDescent="0.2">
      <c r="A10" s="111"/>
      <c r="B10" s="385" t="s">
        <v>409</v>
      </c>
      <c r="C10" s="1780">
        <f>'Input Data'!D12</f>
        <v>0</v>
      </c>
      <c r="D10" s="1761"/>
      <c r="E10" s="1761"/>
      <c r="F10" s="1761"/>
      <c r="G10" s="1761"/>
      <c r="H10" s="1761"/>
      <c r="I10" s="1761"/>
      <c r="J10" s="1761"/>
      <c r="K10" s="1761"/>
      <c r="L10" s="1761"/>
      <c r="M10" s="1761"/>
      <c r="N10" s="1761"/>
      <c r="O10" s="1761"/>
      <c r="P10" s="1761"/>
      <c r="Q10" s="675"/>
      <c r="R10" s="9"/>
      <c r="S10" s="107"/>
    </row>
    <row r="11" spans="1:21" x14ac:dyDescent="0.2">
      <c r="A11" s="111"/>
      <c r="B11" s="385"/>
      <c r="C11" s="671"/>
      <c r="D11" s="124"/>
      <c r="E11" s="124"/>
      <c r="F11" s="124"/>
      <c r="G11" s="124"/>
      <c r="H11" s="124"/>
      <c r="I11" s="124"/>
      <c r="J11" s="124"/>
      <c r="K11" s="124"/>
      <c r="L11" s="124"/>
      <c r="M11" s="124"/>
      <c r="N11" s="124"/>
      <c r="O11" s="124"/>
      <c r="P11" s="124"/>
      <c r="Q11" s="675"/>
      <c r="R11" s="9"/>
      <c r="S11" s="107"/>
    </row>
    <row r="12" spans="1:21" x14ac:dyDescent="0.2">
      <c r="A12" s="128"/>
      <c r="B12" s="683" t="s">
        <v>21</v>
      </c>
      <c r="C12" s="1788">
        <f>'Input Data'!D30</f>
        <v>0</v>
      </c>
      <c r="D12" s="1789"/>
      <c r="E12" s="1789"/>
      <c r="F12" s="1789"/>
      <c r="G12" s="1789"/>
      <c r="H12" s="1789"/>
      <c r="I12" s="112"/>
      <c r="J12" s="112"/>
      <c r="K12" s="113"/>
      <c r="L12" s="23"/>
      <c r="M12" s="29"/>
      <c r="N12" s="109"/>
      <c r="O12" s="1790"/>
      <c r="P12" s="1791"/>
      <c r="Q12" s="1681"/>
      <c r="R12" s="29"/>
      <c r="S12" s="114"/>
    </row>
    <row r="13" spans="1:21" ht="8.25" customHeight="1" thickBot="1" x14ac:dyDescent="0.25">
      <c r="A13" s="115"/>
      <c r="B13" s="53"/>
      <c r="C13" s="116"/>
      <c r="D13" s="26"/>
      <c r="E13" s="26"/>
      <c r="F13" s="26"/>
      <c r="G13" s="26"/>
      <c r="H13" s="26"/>
      <c r="I13" s="26"/>
      <c r="J13" s="26"/>
      <c r="K13" s="117"/>
      <c r="L13" s="117"/>
      <c r="M13" s="26"/>
      <c r="N13" s="118"/>
      <c r="O13" s="53"/>
      <c r="P13" s="72"/>
      <c r="Q13" s="119"/>
      <c r="R13" s="53"/>
      <c r="S13" s="108"/>
    </row>
    <row r="14" spans="1:21" ht="15.75" customHeight="1" thickTop="1" x14ac:dyDescent="0.2">
      <c r="A14" s="1786"/>
      <c r="B14" s="1787"/>
      <c r="C14" s="1787"/>
      <c r="D14" s="1787"/>
      <c r="E14" s="1787"/>
      <c r="F14" s="1787"/>
      <c r="G14" s="1787"/>
      <c r="H14" s="1787"/>
      <c r="I14" s="1787"/>
      <c r="J14" s="1787"/>
      <c r="K14" s="1787"/>
      <c r="L14" s="1787"/>
      <c r="M14" s="510"/>
      <c r="N14" s="1781" t="s">
        <v>139</v>
      </c>
      <c r="O14" s="1782"/>
      <c r="P14" s="1782"/>
      <c r="Q14" s="1782"/>
      <c r="R14" s="1783"/>
      <c r="S14" s="924">
        <f>IF('Input Data'!$E$38=1,80%*'Input Data'!$H$48,'Input Data'!$H$48)</f>
        <v>0</v>
      </c>
    </row>
    <row r="15" spans="1:21" ht="15.75" thickBot="1" x14ac:dyDescent="0.25">
      <c r="A15" s="110"/>
      <c r="B15" s="53"/>
      <c r="C15" s="53"/>
      <c r="D15" s="53"/>
      <c r="E15" s="53"/>
      <c r="F15" s="53"/>
      <c r="G15" s="53"/>
      <c r="H15" s="53"/>
      <c r="I15" s="53"/>
      <c r="J15" s="53"/>
      <c r="K15" s="53"/>
      <c r="L15" s="53"/>
      <c r="M15" s="511"/>
      <c r="N15" s="1784" t="s">
        <v>140</v>
      </c>
      <c r="O15" s="1785"/>
      <c r="P15" s="1785"/>
      <c r="Q15" s="1785"/>
      <c r="R15" s="1785"/>
      <c r="S15" s="925">
        <f>IF('Input Data'!E34="y",IF('Input Data'!$E$38=1,80%*'Input Data'!$H$52,'Input Data'!$H$52),0)</f>
        <v>0</v>
      </c>
    </row>
    <row r="16" spans="1:21" ht="27.75" customHeight="1" thickTop="1" x14ac:dyDescent="0.2">
      <c r="A16" s="145" t="s">
        <v>151</v>
      </c>
      <c r="B16" s="34"/>
      <c r="C16" s="34"/>
      <c r="D16" s="34"/>
      <c r="E16" s="34"/>
      <c r="F16" s="34"/>
      <c r="G16" s="34"/>
      <c r="H16" s="34"/>
      <c r="I16" s="34"/>
      <c r="J16" s="34"/>
      <c r="K16" s="34"/>
      <c r="L16" s="34"/>
      <c r="M16" s="34"/>
      <c r="N16" s="34"/>
      <c r="O16" s="34"/>
      <c r="P16" s="34"/>
      <c r="Q16" s="34"/>
      <c r="R16" s="34"/>
      <c r="S16" s="974"/>
    </row>
    <row r="17" spans="1:19" ht="15.75" x14ac:dyDescent="0.2">
      <c r="A17" s="120"/>
      <c r="B17" s="20"/>
      <c r="C17" s="20"/>
      <c r="D17" s="20"/>
      <c r="E17" s="20"/>
      <c r="F17" s="20"/>
      <c r="G17" s="20"/>
      <c r="H17" s="20"/>
      <c r="I17" s="20"/>
      <c r="J17" s="20"/>
      <c r="K17" s="20"/>
      <c r="L17" s="20"/>
      <c r="M17" s="20"/>
      <c r="N17" s="20"/>
      <c r="O17" s="20"/>
      <c r="P17" s="20"/>
      <c r="Q17" s="20"/>
      <c r="R17" s="20"/>
      <c r="S17" s="948"/>
    </row>
    <row r="18" spans="1:19" x14ac:dyDescent="0.2">
      <c r="A18" s="136" t="s">
        <v>27</v>
      </c>
      <c r="B18" s="19"/>
      <c r="C18" s="20"/>
      <c r="D18" s="36"/>
      <c r="E18" s="36"/>
      <c r="F18" s="36"/>
      <c r="G18" s="36"/>
      <c r="H18" s="36"/>
      <c r="I18" s="36"/>
      <c r="J18" s="36"/>
      <c r="K18" s="37"/>
      <c r="L18" s="38"/>
      <c r="M18" s="25">
        <f>'Civ_Struct_Eng_Tax Invoice '!K112</f>
        <v>0</v>
      </c>
      <c r="N18" s="121" t="s">
        <v>120</v>
      </c>
      <c r="O18" s="39">
        <f>'Civ_Struct_Eng_Tax Invoice '!M112</f>
        <v>0.125</v>
      </c>
      <c r="P18" s="40" t="s">
        <v>1</v>
      </c>
      <c r="Q18" s="41">
        <f>'Civ_Struct_Eng_Tax Invoice '!O112</f>
        <v>0</v>
      </c>
      <c r="R18" s="42" t="s">
        <v>3</v>
      </c>
      <c r="S18" s="947">
        <f>IF('Input Data'!$H$48&gt;'Input Data'!$H$21,(M18+O18*Q18),0)</f>
        <v>0</v>
      </c>
    </row>
    <row r="19" spans="1:19" x14ac:dyDescent="0.2">
      <c r="A19" s="43"/>
      <c r="B19" s="19"/>
      <c r="C19" s="20"/>
      <c r="D19" s="44"/>
      <c r="E19" s="44"/>
      <c r="F19" s="44"/>
      <c r="G19" s="44"/>
      <c r="H19" s="44"/>
      <c r="I19" s="44"/>
      <c r="J19" s="44"/>
      <c r="K19" s="20"/>
      <c r="L19" s="20"/>
      <c r="M19" s="25"/>
      <c r="N19" s="25"/>
      <c r="O19" s="47"/>
      <c r="P19" s="40"/>
      <c r="Q19" s="25"/>
      <c r="R19" s="25"/>
      <c r="S19" s="948"/>
    </row>
    <row r="20" spans="1:19" ht="15.75" thickBot="1" x14ac:dyDescent="0.25">
      <c r="A20" s="52"/>
      <c r="B20" s="53"/>
      <c r="C20" s="54"/>
      <c r="D20" s="55"/>
      <c r="E20" s="55"/>
      <c r="F20" s="55"/>
      <c r="G20" s="55"/>
      <c r="H20" s="55"/>
      <c r="I20" s="55"/>
      <c r="J20" s="55"/>
      <c r="K20" s="54"/>
      <c r="L20" s="54"/>
      <c r="M20" s="56"/>
      <c r="N20" s="57"/>
      <c r="O20" s="58"/>
      <c r="P20" s="59"/>
      <c r="Q20" s="57"/>
      <c r="R20" s="57"/>
      <c r="S20" s="975"/>
    </row>
    <row r="21" spans="1:19" ht="25.5" customHeight="1" thickTop="1" x14ac:dyDescent="0.2">
      <c r="A21" s="33" t="s">
        <v>318</v>
      </c>
      <c r="B21" s="19"/>
      <c r="C21" s="20"/>
      <c r="D21" s="44"/>
      <c r="E21" s="44"/>
      <c r="F21" s="44"/>
      <c r="G21" s="44"/>
      <c r="H21" s="44"/>
      <c r="I21" s="44"/>
      <c r="J21" s="44"/>
      <c r="K21" s="20"/>
      <c r="L21" s="20"/>
      <c r="M21" s="45"/>
      <c r="N21" s="25"/>
      <c r="O21" s="47"/>
      <c r="P21" s="40"/>
      <c r="Q21" s="25"/>
      <c r="R21" s="25"/>
      <c r="S21" s="948"/>
    </row>
    <row r="22" spans="1:19" ht="15.75" x14ac:dyDescent="0.2">
      <c r="A22" s="122"/>
      <c r="B22" s="19"/>
      <c r="C22" s="20"/>
      <c r="D22" s="44"/>
      <c r="E22" s="44"/>
      <c r="F22" s="44"/>
      <c r="G22" s="44"/>
      <c r="H22" s="44"/>
      <c r="I22" s="44"/>
      <c r="J22" s="44"/>
      <c r="K22" s="20"/>
      <c r="L22" s="20"/>
      <c r="M22" s="45"/>
      <c r="N22" s="25"/>
      <c r="O22" s="47"/>
      <c r="P22" s="40"/>
      <c r="Q22" s="25"/>
      <c r="R22" s="25"/>
      <c r="S22" s="948"/>
    </row>
    <row r="23" spans="1:19" ht="15" customHeight="1" x14ac:dyDescent="0.2">
      <c r="A23" s="1697" t="s">
        <v>175</v>
      </c>
      <c r="B23" s="1685"/>
      <c r="C23" s="1685"/>
      <c r="D23" s="19"/>
      <c r="E23" s="19"/>
      <c r="F23" s="19"/>
      <c r="G23" s="19"/>
      <c r="H23" s="19"/>
      <c r="I23" s="19"/>
      <c r="J23" s="19"/>
      <c r="K23" s="19"/>
      <c r="L23" s="36"/>
      <c r="M23" s="1046">
        <f>IF('Input Data'!$F$31=1,0.05,IF('Input Data'!$F$31=2,Scales!$L$4,IF('Input Data'!$F$31=3,Scales!$L$5,IF('Input Data'!$F$31=4,Scales!$L$6,0.7))))</f>
        <v>0.05</v>
      </c>
      <c r="N23" s="42" t="s">
        <v>2</v>
      </c>
      <c r="O23" s="25">
        <f>'WTW Input'!$H$15</f>
        <v>0</v>
      </c>
      <c r="P23" s="40" t="s">
        <v>25</v>
      </c>
      <c r="Q23" s="25">
        <f>IF('WTW Input'!$H$15&gt;0,$S$18,0)</f>
        <v>0</v>
      </c>
      <c r="R23" s="45"/>
      <c r="S23" s="948">
        <f>IF('WTW Input'!$H$15&gt;0,IF('Input Data'!$D$33="N",(M23*O23/O24*Q23),0),0)</f>
        <v>0</v>
      </c>
    </row>
    <row r="24" spans="1:19" ht="15" customHeight="1" x14ac:dyDescent="0.2">
      <c r="A24" s="1690"/>
      <c r="B24" s="1685"/>
      <c r="C24" s="1685"/>
      <c r="D24" s="19"/>
      <c r="E24" s="19"/>
      <c r="F24" s="19"/>
      <c r="G24" s="19"/>
      <c r="H24" s="19"/>
      <c r="I24" s="19"/>
      <c r="J24" s="19"/>
      <c r="K24" s="61"/>
      <c r="L24" s="44"/>
      <c r="M24" s="48"/>
      <c r="N24" s="25"/>
      <c r="O24" s="298">
        <f>IF('WTW Input'!$H$15&gt;0,'Input Data'!$H$48,0)</f>
        <v>0</v>
      </c>
      <c r="P24" s="40"/>
      <c r="Q24" s="25"/>
      <c r="R24" s="45"/>
      <c r="S24" s="948"/>
    </row>
    <row r="25" spans="1:19" ht="15" customHeight="1" x14ac:dyDescent="0.2">
      <c r="A25" s="62"/>
      <c r="B25" s="63"/>
      <c r="C25" s="19"/>
      <c r="D25" s="19"/>
      <c r="E25" s="19"/>
      <c r="F25" s="19"/>
      <c r="G25" s="19"/>
      <c r="H25" s="19"/>
      <c r="I25" s="19"/>
      <c r="J25" s="19"/>
      <c r="K25" s="64"/>
      <c r="L25" s="49"/>
      <c r="M25" s="1046"/>
      <c r="N25" s="66"/>
      <c r="O25" s="66"/>
      <c r="P25" s="67"/>
      <c r="Q25" s="66"/>
      <c r="R25" s="66"/>
      <c r="S25" s="937"/>
    </row>
    <row r="26" spans="1:19" ht="15" customHeight="1" x14ac:dyDescent="0.2">
      <c r="A26" s="1679" t="s">
        <v>169</v>
      </c>
      <c r="B26" s="1684"/>
      <c r="C26" s="1684"/>
      <c r="D26" s="1684"/>
      <c r="E26" s="137"/>
      <c r="F26" s="137"/>
      <c r="G26" s="9"/>
      <c r="H26" s="9"/>
      <c r="I26" s="19"/>
      <c r="J26" s="36"/>
      <c r="K26" s="64">
        <f>IF('WTW Input'!$H$16&gt;0,0.25,0)</f>
        <v>0</v>
      </c>
      <c r="L26" s="36" t="s">
        <v>1</v>
      </c>
      <c r="M26" s="1046">
        <f>IF('Input Data'!$F$31=1,0.05,IF('Input Data'!$F$31=2,Scales!$L$4,IF('Input Data'!$F$31=3,Scales!$L$5,IF('Input Data'!$F$31=4,Scales!$L$6,0.7))))</f>
        <v>0.05</v>
      </c>
      <c r="N26" s="42" t="s">
        <v>2</v>
      </c>
      <c r="O26" s="25">
        <f>'WTW Input'!$H$16</f>
        <v>0</v>
      </c>
      <c r="P26" s="40" t="s">
        <v>25</v>
      </c>
      <c r="Q26" s="25">
        <f>IF('WTW Input'!$H$16&gt;0,$S$18,0)</f>
        <v>0</v>
      </c>
      <c r="R26" s="66"/>
      <c r="S26" s="948">
        <f>IF('WTW Input'!$H$16&gt;0,IF('Input Data'!$D$33="N",(K26*M26*O26/O27*Q26),0),0)</f>
        <v>0</v>
      </c>
    </row>
    <row r="27" spans="1:19" ht="15" customHeight="1" x14ac:dyDescent="0.2">
      <c r="A27" s="1775"/>
      <c r="B27" s="1684"/>
      <c r="C27" s="1684"/>
      <c r="D27" s="1684"/>
      <c r="E27" s="137"/>
      <c r="F27" s="137"/>
      <c r="G27" s="9"/>
      <c r="H27" s="9"/>
      <c r="I27" s="9"/>
      <c r="J27" s="9"/>
      <c r="K27" s="64"/>
      <c r="L27" s="49"/>
      <c r="M27" s="48"/>
      <c r="N27" s="66"/>
      <c r="O27" s="298">
        <f>IF('WTW Input'!$H$16&gt;0,'Input Data'!$H$48,0)</f>
        <v>0</v>
      </c>
      <c r="P27" s="67"/>
      <c r="Q27" s="66"/>
      <c r="R27" s="66"/>
      <c r="S27" s="937"/>
    </row>
    <row r="28" spans="1:19" ht="15" customHeight="1" x14ac:dyDescent="0.2">
      <c r="A28" s="6"/>
      <c r="B28" s="9"/>
      <c r="C28" s="9"/>
      <c r="D28" s="9"/>
      <c r="E28" s="9"/>
      <c r="F28" s="9"/>
      <c r="G28" s="9"/>
      <c r="H28" s="9"/>
      <c r="I28" s="9"/>
      <c r="J28" s="9"/>
      <c r="K28" s="64"/>
      <c r="L28" s="49"/>
      <c r="M28" s="48"/>
      <c r="N28" s="66"/>
      <c r="O28" s="66"/>
      <c r="P28" s="67"/>
      <c r="Q28" s="66"/>
      <c r="R28" s="66"/>
      <c r="S28" s="937"/>
    </row>
    <row r="29" spans="1:19" ht="15" customHeight="1" x14ac:dyDescent="0.2">
      <c r="A29" s="1683" t="s">
        <v>167</v>
      </c>
      <c r="B29" s="1684"/>
      <c r="C29" s="1776"/>
      <c r="D29" s="1776"/>
      <c r="E29" s="404"/>
      <c r="F29" s="404"/>
      <c r="G29" s="404"/>
      <c r="H29" s="404"/>
      <c r="I29" s="19"/>
      <c r="J29" s="36"/>
      <c r="K29" s="64">
        <f>IF('WTW Input'!$H$17&gt;0,1.25,0)</f>
        <v>0</v>
      </c>
      <c r="L29" s="36" t="s">
        <v>1</v>
      </c>
      <c r="M29" s="1046">
        <f>IF('Input Data'!$F$31=1,0.05,IF('Input Data'!$F$31=2,Scales!$L$4,IF('Input Data'!$F$31=3,Scales!$L$5,IF('Input Data'!$F$31=4,Scales!$L$6,0.7))))</f>
        <v>0.05</v>
      </c>
      <c r="N29" s="42" t="s">
        <v>2</v>
      </c>
      <c r="O29" s="25">
        <f>'WTW Input'!$H$17</f>
        <v>0</v>
      </c>
      <c r="P29" s="40" t="s">
        <v>25</v>
      </c>
      <c r="Q29" s="25">
        <f>IF('WTW Input'!$H$17&gt;0,$S$18,0)</f>
        <v>0</v>
      </c>
      <c r="R29" s="25"/>
      <c r="S29" s="948">
        <f>IF('WTW Input'!$H$17&gt;0,IF('Input Data'!$D$33="N",(K29*M29*O29/O30*Q29),0),0)</f>
        <v>0</v>
      </c>
    </row>
    <row r="30" spans="1:19" ht="15" customHeight="1" x14ac:dyDescent="0.2">
      <c r="A30" s="1777"/>
      <c r="B30" s="1776"/>
      <c r="C30" s="1776"/>
      <c r="D30" s="1776"/>
      <c r="E30" s="404"/>
      <c r="F30" s="404"/>
      <c r="G30" s="19"/>
      <c r="H30" s="19"/>
      <c r="I30" s="19"/>
      <c r="J30" s="19"/>
      <c r="K30" s="64"/>
      <c r="L30" s="49"/>
      <c r="M30" s="48"/>
      <c r="N30" s="66"/>
      <c r="O30" s="298">
        <f>IF('WTW Input'!$H$17&gt;0,'Input Data'!$H$48,0)</f>
        <v>0</v>
      </c>
      <c r="P30" s="67"/>
      <c r="Q30" s="66"/>
      <c r="R30" s="66"/>
      <c r="S30" s="937"/>
    </row>
    <row r="31" spans="1:19" ht="12" customHeight="1" x14ac:dyDescent="0.2">
      <c r="A31" s="62"/>
      <c r="B31" s="63"/>
      <c r="C31" s="19"/>
      <c r="D31" s="19"/>
      <c r="E31" s="19"/>
      <c r="F31" s="19"/>
      <c r="G31" s="19"/>
      <c r="H31" s="19"/>
      <c r="I31" s="19"/>
      <c r="J31" s="19"/>
      <c r="K31" s="64"/>
      <c r="L31" s="49"/>
      <c r="M31" s="48"/>
      <c r="N31" s="66"/>
      <c r="O31" s="66"/>
      <c r="P31" s="67"/>
      <c r="Q31" s="66"/>
      <c r="R31" s="66"/>
      <c r="S31" s="937"/>
    </row>
    <row r="32" spans="1:19" ht="21.75" customHeight="1" x14ac:dyDescent="0.2">
      <c r="A32" s="1683" t="s">
        <v>170</v>
      </c>
      <c r="B32" s="1684"/>
      <c r="C32" s="1776"/>
      <c r="D32" s="1776"/>
      <c r="E32" s="404"/>
      <c r="F32" s="404"/>
      <c r="G32" s="404"/>
      <c r="H32" s="404"/>
      <c r="I32" s="19"/>
      <c r="J32" s="36"/>
      <c r="K32" s="68">
        <f>IF('WTW Input'!$H$18&gt;0,0.33,0)</f>
        <v>0</v>
      </c>
      <c r="L32" s="36" t="s">
        <v>1</v>
      </c>
      <c r="M32" s="1046">
        <f>IF('Input Data'!$F$31=1,0.05,IF('Input Data'!$F$31=2,Scales!$L$4,IF('Input Data'!$F$31=3,Scales!$L$5,IF('Input Data'!$F$31=4,Scales!$L$6,0.7))))</f>
        <v>0.05</v>
      </c>
      <c r="N32" s="42" t="s">
        <v>2</v>
      </c>
      <c r="O32" s="25">
        <f>'WTW Input'!$H$18</f>
        <v>0</v>
      </c>
      <c r="P32" s="40" t="s">
        <v>25</v>
      </c>
      <c r="Q32" s="25">
        <f>IF('WTW Input'!$H$18&gt;0,$S$18,0)</f>
        <v>0</v>
      </c>
      <c r="R32" s="25"/>
      <c r="S32" s="948">
        <f>IF('WTW Input'!$H$18&gt;0,IF('Input Data'!$D$33="N",(K32*M32*O32/O33*Q32),0),0)</f>
        <v>0</v>
      </c>
    </row>
    <row r="33" spans="1:19" ht="21.75" customHeight="1" x14ac:dyDescent="0.2">
      <c r="A33" s="1777"/>
      <c r="B33" s="1776"/>
      <c r="C33" s="1776"/>
      <c r="D33" s="1776"/>
      <c r="E33" s="404"/>
      <c r="F33" s="404"/>
      <c r="G33" s="19"/>
      <c r="H33" s="19"/>
      <c r="I33" s="19"/>
      <c r="J33" s="19"/>
      <c r="K33" s="64"/>
      <c r="L33" s="49"/>
      <c r="M33" s="48"/>
      <c r="N33" s="42"/>
      <c r="O33" s="298">
        <f>IF('WTW Input'!$H$18&gt;0,'Input Data'!$H$48,0)</f>
        <v>0</v>
      </c>
      <c r="P33" s="67"/>
      <c r="Q33" s="69"/>
      <c r="R33" s="66"/>
      <c r="S33" s="937"/>
    </row>
    <row r="34" spans="1:19" ht="9" customHeight="1" x14ac:dyDescent="0.2">
      <c r="A34" s="422"/>
      <c r="B34" s="29"/>
      <c r="C34" s="29"/>
      <c r="D34" s="29"/>
      <c r="E34" s="29"/>
      <c r="F34" s="29"/>
      <c r="G34" s="29"/>
      <c r="H34" s="29"/>
      <c r="I34" s="29"/>
      <c r="J34" s="29"/>
      <c r="K34" s="29"/>
      <c r="L34" s="29"/>
      <c r="M34" s="29"/>
      <c r="N34" s="29"/>
      <c r="O34" s="29"/>
      <c r="P34" s="29"/>
      <c r="Q34" s="29"/>
      <c r="R34" s="29"/>
      <c r="S34" s="976"/>
    </row>
    <row r="35" spans="1:19" ht="15.75" customHeight="1" x14ac:dyDescent="0.2">
      <c r="A35" s="1679" t="s">
        <v>168</v>
      </c>
      <c r="B35" s="1684"/>
      <c r="C35" s="1684"/>
      <c r="D35" s="1684"/>
      <c r="E35" s="137"/>
      <c r="F35" s="137"/>
      <c r="G35" s="19"/>
      <c r="H35" s="36"/>
      <c r="I35" s="64">
        <f>IF('WTW Input'!$H$19&gt;0,0.33,0)</f>
        <v>0</v>
      </c>
      <c r="J35" s="36" t="s">
        <v>1</v>
      </c>
      <c r="K35" s="64">
        <f>IF('WTW Input'!$H$19&gt;0,1.25,0)</f>
        <v>0</v>
      </c>
      <c r="L35" s="36" t="s">
        <v>1</v>
      </c>
      <c r="M35" s="1046">
        <f>IF('Input Data'!$F$31=1,0.05,IF('Input Data'!$F$31=2,Scales!$L$4,IF('Input Data'!$F$31=3,Scales!$L$5,IF('Input Data'!$F$31=4,Scales!$L$6,0.7))))</f>
        <v>0.05</v>
      </c>
      <c r="N35" s="42" t="s">
        <v>2</v>
      </c>
      <c r="O35" s="25">
        <f>'WTW Input'!$H$19</f>
        <v>0</v>
      </c>
      <c r="P35" s="40" t="s">
        <v>25</v>
      </c>
      <c r="Q35" s="25">
        <f>IF('WTW Input'!$H$19&gt;0,$S$18,0)</f>
        <v>0</v>
      </c>
      <c r="R35" s="66"/>
      <c r="S35" s="948">
        <f>IF('WTW Input'!$H$19&gt;0,IF('Input Data'!$D$33="N",(I35*K35*M35*O35/O36*Q35),0),0)</f>
        <v>0</v>
      </c>
    </row>
    <row r="36" spans="1:19" ht="24" customHeight="1" x14ac:dyDescent="0.2">
      <c r="A36" s="1775"/>
      <c r="B36" s="1684"/>
      <c r="C36" s="1684"/>
      <c r="D36" s="1684"/>
      <c r="E36" s="137"/>
      <c r="F36" s="137"/>
      <c r="G36" s="9"/>
      <c r="H36" s="9"/>
      <c r="I36" s="9"/>
      <c r="J36" s="9"/>
      <c r="K36" s="64"/>
      <c r="L36" s="49"/>
      <c r="M36" s="48"/>
      <c r="N36" s="66"/>
      <c r="O36" s="298">
        <f>IF('WTW Input'!$H$19&gt;0,'Input Data'!$H$48,0)</f>
        <v>0</v>
      </c>
      <c r="P36" s="67"/>
      <c r="Q36" s="66"/>
      <c r="R36" s="66"/>
      <c r="S36" s="937"/>
    </row>
    <row r="37" spans="1:19" x14ac:dyDescent="0.2">
      <c r="A37" s="6"/>
      <c r="B37" s="9"/>
      <c r="C37" s="9"/>
      <c r="D37" s="9"/>
      <c r="E37" s="9"/>
      <c r="F37" s="9"/>
      <c r="G37" s="9"/>
      <c r="H37" s="9"/>
      <c r="I37" s="9"/>
      <c r="J37" s="9"/>
      <c r="K37" s="64"/>
      <c r="L37" s="49"/>
      <c r="M37" s="48"/>
      <c r="N37" s="66"/>
      <c r="O37" s="66"/>
      <c r="P37" s="67"/>
      <c r="Q37" s="66"/>
      <c r="R37" s="66"/>
      <c r="S37" s="937"/>
    </row>
    <row r="38" spans="1:19" ht="15.75" customHeight="1" x14ac:dyDescent="0.2">
      <c r="A38" s="1679" t="s">
        <v>171</v>
      </c>
      <c r="B38" s="1778"/>
      <c r="C38" s="1778"/>
      <c r="D38" s="1778"/>
      <c r="E38" s="138"/>
      <c r="F38" s="138"/>
      <c r="G38" s="19"/>
      <c r="H38" s="36"/>
      <c r="I38" s="64">
        <f>IF('WTW Input'!$H$20&gt;0,0.33,0)</f>
        <v>0</v>
      </c>
      <c r="J38" s="36" t="s">
        <v>1</v>
      </c>
      <c r="K38" s="70">
        <f>IF('WTW Input'!$H$20&gt;0,0.25,0)</f>
        <v>0</v>
      </c>
      <c r="L38" s="36" t="s">
        <v>1</v>
      </c>
      <c r="M38" s="1046">
        <f>IF('Input Data'!$F$31=1,0.05,IF('Input Data'!$F$31=2,Scales!$L$4,IF('Input Data'!$F$31=3,Scales!$L$5,IF('Input Data'!$F$31=4,Scales!$L$6,0.7))))</f>
        <v>0.05</v>
      </c>
      <c r="N38" s="42" t="s">
        <v>2</v>
      </c>
      <c r="O38" s="25">
        <f>'WTW Input'!$H$20</f>
        <v>0</v>
      </c>
      <c r="P38" s="40" t="s">
        <v>25</v>
      </c>
      <c r="Q38" s="25">
        <f>IF('WTW Input'!$H$20&gt;0,$S$18,0)</f>
        <v>0</v>
      </c>
      <c r="R38" s="66"/>
      <c r="S38" s="948">
        <f>IF('WTW Input'!$H$20&gt;0,IF('Input Data'!$D$33="N",(I38*K38*M38*O38/O39*Q38),0),0)</f>
        <v>0</v>
      </c>
    </row>
    <row r="39" spans="1:19" ht="21.75" customHeight="1" x14ac:dyDescent="0.2">
      <c r="A39" s="1679"/>
      <c r="B39" s="1778"/>
      <c r="C39" s="1778"/>
      <c r="D39" s="1778"/>
      <c r="E39" s="138"/>
      <c r="F39" s="138"/>
      <c r="G39" s="9"/>
      <c r="H39" s="9"/>
      <c r="I39" s="9"/>
      <c r="J39" s="9"/>
      <c r="K39" s="64"/>
      <c r="L39" s="49"/>
      <c r="M39" s="48"/>
      <c r="N39" s="66"/>
      <c r="O39" s="298">
        <f>IF('WTW Input'!$H$20&gt;0,'Input Data'!$H$48,0)</f>
        <v>0</v>
      </c>
      <c r="P39" s="67"/>
      <c r="Q39" s="66"/>
      <c r="R39" s="66"/>
      <c r="S39" s="937"/>
    </row>
    <row r="40" spans="1:19" x14ac:dyDescent="0.2">
      <c r="A40" s="6"/>
      <c r="B40" s="9"/>
      <c r="C40" s="9"/>
      <c r="D40" s="9"/>
      <c r="E40" s="9"/>
      <c r="F40" s="9"/>
      <c r="G40" s="9"/>
      <c r="H40" s="9"/>
      <c r="I40" s="9"/>
      <c r="J40" s="9"/>
      <c r="K40" s="64"/>
      <c r="L40" s="49"/>
      <c r="M40" s="48"/>
      <c r="N40" s="66"/>
      <c r="O40" s="66"/>
      <c r="P40" s="67"/>
      <c r="Q40" s="66"/>
      <c r="R40" s="66"/>
      <c r="S40" s="937"/>
    </row>
    <row r="41" spans="1:19" x14ac:dyDescent="0.2">
      <c r="A41" s="1679" t="s">
        <v>172</v>
      </c>
      <c r="B41" s="1684"/>
      <c r="C41" s="1684"/>
      <c r="D41" s="1684"/>
      <c r="E41" s="137"/>
      <c r="F41" s="137"/>
      <c r="G41" s="19"/>
      <c r="H41" s="36"/>
      <c r="I41" s="64">
        <f>IF('WTW Input'!$H$21&gt;0,1.25,0)</f>
        <v>0</v>
      </c>
      <c r="J41" s="36" t="s">
        <v>1</v>
      </c>
      <c r="K41" s="70">
        <f>IF('WTW Input'!$H$21&gt;0,0.25,0)</f>
        <v>0</v>
      </c>
      <c r="L41" s="36" t="s">
        <v>1</v>
      </c>
      <c r="M41" s="1046">
        <f>IF('Input Data'!$F$31=1,0.05,IF('Input Data'!$F$31=2,Scales!$L$4,IF('Input Data'!$F$31=3,Scales!$L$5,IF('Input Data'!$F$31=4,Scales!$L$6,0.7))))</f>
        <v>0.05</v>
      </c>
      <c r="N41" s="42" t="s">
        <v>2</v>
      </c>
      <c r="O41" s="25">
        <f>'WTW Input'!$H$21</f>
        <v>0</v>
      </c>
      <c r="P41" s="40" t="s">
        <v>25</v>
      </c>
      <c r="Q41" s="25">
        <f>IF('WTW Input'!$H$21&gt;0,$S$18,0)</f>
        <v>0</v>
      </c>
      <c r="R41" s="66"/>
      <c r="S41" s="948">
        <f>IF('WTW Input'!$H$21&gt;0,IF('Input Data'!$D$33="N",(I41*K41*M41*O41/O42*Q41),0),0)</f>
        <v>0</v>
      </c>
    </row>
    <row r="42" spans="1:19" x14ac:dyDescent="0.2">
      <c r="A42" s="1775"/>
      <c r="B42" s="1684"/>
      <c r="C42" s="1684"/>
      <c r="D42" s="1684"/>
      <c r="E42" s="137"/>
      <c r="F42" s="137"/>
      <c r="G42" s="9"/>
      <c r="H42" s="9"/>
      <c r="I42" s="9"/>
      <c r="J42" s="9"/>
      <c r="K42" s="64"/>
      <c r="L42" s="49"/>
      <c r="M42" s="48"/>
      <c r="N42" s="66"/>
      <c r="O42" s="298">
        <f>IF('WTW Input'!$H$21&gt;0,'Input Data'!$H$48,0)</f>
        <v>0</v>
      </c>
      <c r="P42" s="67"/>
      <c r="Q42" s="66"/>
      <c r="R42" s="66"/>
      <c r="S42" s="937"/>
    </row>
    <row r="43" spans="1:19" x14ac:dyDescent="0.2">
      <c r="A43" s="6"/>
      <c r="B43" s="9"/>
      <c r="C43" s="9"/>
      <c r="D43" s="9"/>
      <c r="E43" s="9"/>
      <c r="F43" s="9"/>
      <c r="G43" s="9"/>
      <c r="H43" s="9"/>
      <c r="I43" s="9"/>
      <c r="J43" s="9"/>
      <c r="K43" s="64"/>
      <c r="L43" s="49"/>
      <c r="M43" s="48"/>
      <c r="N43" s="66"/>
      <c r="O43" s="66"/>
      <c r="P43" s="67"/>
      <c r="Q43" s="66"/>
      <c r="R43" s="66"/>
      <c r="S43" s="937"/>
    </row>
    <row r="44" spans="1:19" x14ac:dyDescent="0.2">
      <c r="A44" s="1679" t="s">
        <v>173</v>
      </c>
      <c r="B44" s="1684"/>
      <c r="C44" s="1684"/>
      <c r="D44" s="1684"/>
      <c r="E44" s="19"/>
      <c r="F44" s="36"/>
      <c r="G44" s="64">
        <f>IF('WTW Input'!$H$22&gt;0,1.25,0)</f>
        <v>0</v>
      </c>
      <c r="H44" s="36" t="s">
        <v>1</v>
      </c>
      <c r="I44" s="64">
        <f>IF('WTW Input'!$H$22&gt;0,0.33,0)</f>
        <v>0</v>
      </c>
      <c r="J44" s="36" t="s">
        <v>1</v>
      </c>
      <c r="K44" s="70">
        <f>IF('WTW Input'!$H$22&gt;0,0.25,0)</f>
        <v>0</v>
      </c>
      <c r="L44" s="36" t="s">
        <v>1</v>
      </c>
      <c r="M44" s="1046">
        <f>IF('Input Data'!$F$31=1,0.05,IF('Input Data'!$F$31=2,Scales!$L$4,IF('Input Data'!$F$31=3,Scales!$L$5,IF('Input Data'!$F$31=4,Scales!$L$6,0.7))))</f>
        <v>0.05</v>
      </c>
      <c r="N44" s="42" t="s">
        <v>2</v>
      </c>
      <c r="O44" s="25">
        <f>'WTW Input'!$H$22</f>
        <v>0</v>
      </c>
      <c r="P44" s="40" t="s">
        <v>25</v>
      </c>
      <c r="Q44" s="25">
        <f>IF('WTW Input'!$H$22&gt;0,$S$18,0)</f>
        <v>0</v>
      </c>
      <c r="R44" s="66"/>
      <c r="S44" s="948">
        <f>IF('WTW Input'!$H$22&gt;0,IF('Input Data'!$D$33="N",(G44*I44*K44*M44*O44/O45*Q44),0),0)</f>
        <v>0</v>
      </c>
    </row>
    <row r="45" spans="1:19" ht="24" customHeight="1" x14ac:dyDescent="0.2">
      <c r="A45" s="1775"/>
      <c r="B45" s="1684"/>
      <c r="C45" s="1684"/>
      <c r="D45" s="1684"/>
      <c r="E45" s="137"/>
      <c r="F45" s="137"/>
      <c r="G45" s="9"/>
      <c r="H45" s="9"/>
      <c r="I45" s="9"/>
      <c r="J45" s="9"/>
      <c r="K45" s="64"/>
      <c r="L45" s="49"/>
      <c r="M45" s="48"/>
      <c r="N45" s="66"/>
      <c r="O45" s="298">
        <f>IF('WTW Input'!$H$22&gt;0,'Input Data'!$H$48,0)</f>
        <v>0</v>
      </c>
      <c r="P45" s="67"/>
      <c r="Q45" s="66"/>
      <c r="R45" s="66"/>
      <c r="S45" s="937"/>
    </row>
    <row r="46" spans="1:19" ht="32.25" customHeight="1" x14ac:dyDescent="0.2">
      <c r="A46" s="1779" t="s">
        <v>178</v>
      </c>
      <c r="B46" s="1685"/>
      <c r="C46" s="1685"/>
      <c r="D46" s="1685"/>
      <c r="E46" s="1685"/>
      <c r="F46" s="1685"/>
      <c r="G46" s="1685"/>
      <c r="H46" s="1685"/>
      <c r="I46" s="1685"/>
      <c r="J46" s="1685"/>
      <c r="K46" s="1685"/>
      <c r="L46" s="1685"/>
      <c r="M46" s="1685"/>
      <c r="N46" s="1685"/>
      <c r="O46" s="1685"/>
      <c r="P46" s="1685"/>
      <c r="Q46" s="1685"/>
      <c r="R46" s="66"/>
      <c r="S46" s="977">
        <f>IF(S14=0,0,SUM(S23:S45))</f>
        <v>0</v>
      </c>
    </row>
    <row r="47" spans="1:19" ht="15.75" thickBot="1" x14ac:dyDescent="0.25">
      <c r="A47" s="71"/>
      <c r="B47" s="15"/>
      <c r="C47" s="53"/>
      <c r="D47" s="53"/>
      <c r="E47" s="53"/>
      <c r="F47" s="53"/>
      <c r="G47" s="53"/>
      <c r="H47" s="53"/>
      <c r="I47" s="53"/>
      <c r="J47" s="53"/>
      <c r="K47" s="73"/>
      <c r="L47" s="74"/>
      <c r="M47" s="75"/>
      <c r="N47" s="1008" t="s">
        <v>424</v>
      </c>
      <c r="O47" s="76"/>
      <c r="P47" s="77"/>
      <c r="Q47" s="76"/>
      <c r="R47" s="76"/>
      <c r="S47" s="978"/>
    </row>
    <row r="48" spans="1:19" ht="27.75" customHeight="1" thickTop="1" x14ac:dyDescent="0.2">
      <c r="A48" s="82" t="s">
        <v>319</v>
      </c>
      <c r="B48" s="63"/>
      <c r="C48" s="63"/>
      <c r="D48" s="63"/>
      <c r="E48" s="63"/>
      <c r="F48" s="63"/>
      <c r="G48" s="19"/>
      <c r="H48" s="19"/>
      <c r="I48" s="19"/>
      <c r="J48" s="19"/>
      <c r="K48" s="19"/>
      <c r="L48" s="19"/>
      <c r="M48" s="19"/>
      <c r="N48" s="19"/>
      <c r="O48" s="19"/>
      <c r="P48" s="19"/>
      <c r="Q48" s="19"/>
      <c r="R48" s="19"/>
      <c r="S48" s="939"/>
    </row>
    <row r="49" spans="1:19" x14ac:dyDescent="0.2">
      <c r="A49" s="433"/>
      <c r="B49" s="19"/>
      <c r="C49" s="19"/>
      <c r="D49" s="19"/>
      <c r="E49" s="19"/>
      <c r="F49" s="19"/>
      <c r="G49" s="19"/>
      <c r="H49" s="19"/>
      <c r="I49" s="19"/>
      <c r="J49" s="19"/>
      <c r="K49" s="19"/>
      <c r="L49" s="19"/>
      <c r="M49" s="19"/>
      <c r="N49" s="19"/>
      <c r="O49" s="19"/>
      <c r="P49" s="19"/>
      <c r="Q49" s="19"/>
      <c r="R49" s="19"/>
      <c r="S49" s="939"/>
    </row>
    <row r="50" spans="1:19" x14ac:dyDescent="0.2">
      <c r="A50" s="1697" t="s">
        <v>175</v>
      </c>
      <c r="B50" s="1685"/>
      <c r="C50" s="1685"/>
      <c r="D50" s="36"/>
      <c r="E50" s="36"/>
      <c r="F50" s="36"/>
      <c r="G50" s="36"/>
      <c r="H50" s="36"/>
      <c r="I50" s="36"/>
      <c r="J50" s="36"/>
      <c r="K50" s="19"/>
      <c r="L50" s="36"/>
      <c r="M50" s="48">
        <f>IF('Input Data'!$F$31&lt;5,0,IF('Input Data'!$F$31=5,0.25,IF('Input Data'!$F$31=6,0.3)))</f>
        <v>0</v>
      </c>
      <c r="N50" s="38" t="s">
        <v>2</v>
      </c>
      <c r="O50" s="41">
        <f>IF('Input Data'!$F$31&gt;4,'WTW Input'!$H$27,0)</f>
        <v>0</v>
      </c>
      <c r="P50" s="40" t="s">
        <v>25</v>
      </c>
      <c r="Q50" s="84">
        <f>IF('WTW Input'!$H$27&gt;0,IF('Input Data'!$F$31&gt;4,$S$18,0),0)</f>
        <v>0</v>
      </c>
      <c r="R50" s="25"/>
      <c r="S50" s="948">
        <f>IF('WTW Input'!$H$27&gt;0,IF('Input Data'!$F$31&gt;4,(M50*O50/O51*Q50),0),0)</f>
        <v>0</v>
      </c>
    </row>
    <row r="51" spans="1:19" x14ac:dyDescent="0.2">
      <c r="A51" s="1690"/>
      <c r="B51" s="1685"/>
      <c r="C51" s="1685"/>
      <c r="D51" s="44"/>
      <c r="E51" s="44"/>
      <c r="F51" s="44"/>
      <c r="G51" s="44"/>
      <c r="H51" s="44"/>
      <c r="I51" s="44"/>
      <c r="J51" s="44"/>
      <c r="K51" s="19"/>
      <c r="L51" s="19"/>
      <c r="M51" s="48"/>
      <c r="N51" s="20"/>
      <c r="O51" s="298">
        <f>IF('WTW Input'!$H$27&gt;0,'Input Data'!$H$48,0)</f>
        <v>0</v>
      </c>
      <c r="P51" s="40"/>
      <c r="Q51" s="25"/>
      <c r="R51" s="25"/>
      <c r="S51" s="948"/>
    </row>
    <row r="52" spans="1:19" x14ac:dyDescent="0.2">
      <c r="A52" s="43"/>
      <c r="B52" s="19"/>
      <c r="C52" s="20"/>
      <c r="D52" s="44"/>
      <c r="E52" s="44"/>
      <c r="F52" s="44"/>
      <c r="G52" s="44"/>
      <c r="H52" s="44"/>
      <c r="I52" s="44"/>
      <c r="J52" s="44"/>
      <c r="K52" s="19"/>
      <c r="L52" s="19"/>
      <c r="M52" s="48"/>
      <c r="N52" s="20"/>
      <c r="O52" s="291"/>
      <c r="P52" s="40"/>
      <c r="Q52" s="25"/>
      <c r="R52" s="25"/>
      <c r="S52" s="948"/>
    </row>
    <row r="53" spans="1:19" x14ac:dyDescent="0.2">
      <c r="A53" s="1683" t="s">
        <v>167</v>
      </c>
      <c r="B53" s="1684"/>
      <c r="C53" s="1776"/>
      <c r="D53" s="36"/>
      <c r="E53" s="36"/>
      <c r="F53" s="36"/>
      <c r="G53" s="36"/>
      <c r="H53" s="36"/>
      <c r="I53" s="19"/>
      <c r="J53" s="36"/>
      <c r="K53" s="64">
        <f>IF('WTW Input'!H28&gt;0,1.25,0)</f>
        <v>0</v>
      </c>
      <c r="L53" s="19" t="s">
        <v>25</v>
      </c>
      <c r="M53" s="48">
        <f>IF('Input Data'!$F$31&lt;5,0,IF('Input Data'!$F$31=5,0.25,IF('Input Data'!$F$31=6,0.3)))</f>
        <v>0</v>
      </c>
      <c r="N53" s="38" t="s">
        <v>2</v>
      </c>
      <c r="O53" s="41">
        <f>IF('Input Data'!$F$31&gt;4,'WTW Input'!$H$28,0)</f>
        <v>0</v>
      </c>
      <c r="P53" s="40" t="s">
        <v>25</v>
      </c>
      <c r="Q53" s="84">
        <f>IF('WTW Input'!$H$28&gt;0,IF('Input Data'!$F$31&gt;4,$S$18,0),0)</f>
        <v>0</v>
      </c>
      <c r="R53" s="42"/>
      <c r="S53" s="948">
        <f>IF('WTW Input'!$H$28&gt;0,IF('Input Data'!$F$31&gt;4,(K53*M53*O53/O54*Q53),0),0)</f>
        <v>0</v>
      </c>
    </row>
    <row r="54" spans="1:19" x14ac:dyDescent="0.2">
      <c r="A54" s="1777"/>
      <c r="B54" s="1776"/>
      <c r="C54" s="1776"/>
      <c r="D54" s="49"/>
      <c r="E54" s="49"/>
      <c r="F54" s="49"/>
      <c r="G54" s="49"/>
      <c r="H54" s="49"/>
      <c r="I54" s="49"/>
      <c r="J54" s="49"/>
      <c r="K54" s="19"/>
      <c r="L54" s="19"/>
      <c r="M54" s="65"/>
      <c r="N54" s="63"/>
      <c r="O54" s="298">
        <f>IF('WTW Input'!$H$28&gt;0,'Input Data'!$H$48,0)</f>
        <v>0</v>
      </c>
      <c r="P54" s="67"/>
      <c r="Q54" s="66"/>
      <c r="R54" s="66"/>
      <c r="S54" s="937"/>
    </row>
    <row r="55" spans="1:19" ht="21" customHeight="1" x14ac:dyDescent="0.2">
      <c r="A55" s="432"/>
      <c r="B55" s="144" t="s">
        <v>230</v>
      </c>
      <c r="C55" s="404"/>
      <c r="D55" s="29"/>
      <c r="E55" s="434"/>
      <c r="F55" s="29"/>
      <c r="G55" s="148"/>
      <c r="H55" s="148"/>
      <c r="I55" s="148"/>
      <c r="J55" s="148"/>
      <c r="K55" s="149"/>
      <c r="L55" s="149"/>
      <c r="M55" s="150"/>
      <c r="N55" s="151"/>
      <c r="O55" s="152"/>
      <c r="P55" s="153"/>
      <c r="Q55" s="154"/>
      <c r="R55" s="154"/>
      <c r="S55" s="977">
        <f>IF('WTW Input'!H29=0,0,SUM(S50:S54))</f>
        <v>0</v>
      </c>
    </row>
    <row r="56" spans="1:19" ht="6" customHeight="1" thickBot="1" x14ac:dyDescent="0.25">
      <c r="A56" s="123"/>
      <c r="B56" s="12"/>
      <c r="C56" s="12"/>
      <c r="D56" s="85"/>
      <c r="E56" s="85"/>
      <c r="F56" s="85"/>
      <c r="G56" s="85"/>
      <c r="H56" s="85"/>
      <c r="I56" s="85"/>
      <c r="J56" s="85"/>
      <c r="K56" s="86"/>
      <c r="L56" s="86"/>
      <c r="M56" s="87"/>
      <c r="N56" s="12"/>
      <c r="O56" s="13"/>
      <c r="P56" s="79"/>
      <c r="Q56" s="13"/>
      <c r="R56" s="13"/>
      <c r="S56" s="958"/>
    </row>
    <row r="57" spans="1:19" ht="27.75" customHeight="1" thickTop="1" thickBot="1" x14ac:dyDescent="0.25">
      <c r="A57" s="435"/>
      <c r="B57" s="436"/>
      <c r="C57" s="436"/>
      <c r="D57" s="437" t="s">
        <v>142</v>
      </c>
      <c r="E57" s="438"/>
      <c r="F57" s="438"/>
      <c r="G57" s="439"/>
      <c r="H57" s="439"/>
      <c r="I57" s="439"/>
      <c r="J57" s="439"/>
      <c r="K57" s="439"/>
      <c r="L57" s="439"/>
      <c r="M57" s="439"/>
      <c r="N57" s="439"/>
      <c r="O57" s="439"/>
      <c r="P57" s="439"/>
      <c r="Q57" s="439"/>
      <c r="R57" s="439"/>
      <c r="S57" s="979">
        <f>S46+S55</f>
        <v>0</v>
      </c>
    </row>
    <row r="58" spans="1:19"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2">
    <mergeCell ref="C10:P10"/>
    <mergeCell ref="A23:C24"/>
    <mergeCell ref="N14:R14"/>
    <mergeCell ref="A32:D33"/>
    <mergeCell ref="A29:D30"/>
    <mergeCell ref="A26:D27"/>
    <mergeCell ref="N15:R15"/>
    <mergeCell ref="A14:L14"/>
    <mergeCell ref="C12:H12"/>
    <mergeCell ref="O12:Q12"/>
    <mergeCell ref="A35:D36"/>
    <mergeCell ref="A53:C54"/>
    <mergeCell ref="A38:D39"/>
    <mergeCell ref="A41:D42"/>
    <mergeCell ref="A44:D45"/>
    <mergeCell ref="A50:C51"/>
    <mergeCell ref="A46:Q46"/>
    <mergeCell ref="B8:R8"/>
    <mergeCell ref="E1:S1"/>
    <mergeCell ref="B6:D6"/>
    <mergeCell ref="K3:Q3"/>
    <mergeCell ref="I6:O6"/>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C15" sqref="C15"/>
    </sheetView>
  </sheetViews>
  <sheetFormatPr defaultRowHeight="15" x14ac:dyDescent="0.2"/>
  <cols>
    <col min="1" max="2" width="9.21875" customWidth="1"/>
    <col min="3" max="3" width="11.77734375" customWidth="1"/>
    <col min="4" max="4" width="11.6640625" customWidth="1"/>
    <col min="5" max="5" width="10.33203125" customWidth="1"/>
    <col min="6" max="6" width="12.77734375" customWidth="1"/>
    <col min="7" max="7" width="3.21875" customWidth="1"/>
    <col min="8" max="8" width="9.44140625" customWidth="1"/>
    <col min="9" max="9" width="11.6640625" customWidth="1"/>
    <col min="10" max="10" width="12.21875" customWidth="1"/>
    <col min="11" max="11" width="12" customWidth="1"/>
    <col min="12" max="12" width="9" customWidth="1"/>
    <col min="13" max="13" width="12" customWidth="1"/>
  </cols>
  <sheetData>
    <row r="1" spans="1:13" ht="21" customHeight="1" thickTop="1" x14ac:dyDescent="0.2">
      <c r="A1" s="202" t="s">
        <v>631</v>
      </c>
      <c r="B1" s="355"/>
      <c r="C1" s="203"/>
      <c r="D1" s="203"/>
      <c r="E1" s="204" t="s">
        <v>218</v>
      </c>
      <c r="F1" s="203"/>
      <c r="G1" s="203"/>
      <c r="H1" s="203"/>
      <c r="I1" s="203"/>
      <c r="J1" s="203"/>
      <c r="K1" s="203"/>
      <c r="L1" s="203"/>
      <c r="M1" s="205"/>
    </row>
    <row r="2" spans="1:13" x14ac:dyDescent="0.2">
      <c r="A2" s="1792" t="s">
        <v>208</v>
      </c>
      <c r="B2" s="1793"/>
      <c r="C2" s="1793"/>
      <c r="D2" s="1106">
        <f>'Input Data'!$D$28</f>
        <v>0</v>
      </c>
      <c r="E2" s="206" t="s">
        <v>298</v>
      </c>
      <c r="F2" s="1107">
        <f>'Input Data'!$D$5</f>
        <v>0</v>
      </c>
      <c r="G2" s="124"/>
      <c r="H2" s="1793" t="s">
        <v>115</v>
      </c>
      <c r="I2" s="1793"/>
      <c r="J2" s="1794"/>
      <c r="K2" s="220" t="str">
        <f>IF('Input Data'!D17="NONE","N","Y")</f>
        <v>Y</v>
      </c>
      <c r="L2" s="124"/>
      <c r="M2" s="130"/>
    </row>
    <row r="3" spans="1:13" ht="15.75" thickBot="1" x14ac:dyDescent="0.25">
      <c r="A3" s="208"/>
      <c r="B3" s="209"/>
      <c r="C3" s="124"/>
      <c r="D3" s="124"/>
      <c r="E3" s="124"/>
      <c r="F3" s="803">
        <f>D5*0.14</f>
        <v>0</v>
      </c>
      <c r="G3" s="124"/>
      <c r="H3" s="209"/>
      <c r="I3" s="209"/>
      <c r="J3" s="210"/>
      <c r="K3" s="124"/>
      <c r="L3" s="124"/>
      <c r="M3" s="211"/>
    </row>
    <row r="4" spans="1:13" ht="65.25" thickTop="1" thickBot="1" x14ac:dyDescent="0.25">
      <c r="A4" s="212" t="s">
        <v>209</v>
      </c>
      <c r="B4" s="356" t="s">
        <v>9</v>
      </c>
      <c r="C4" s="794" t="s">
        <v>413</v>
      </c>
      <c r="D4" s="794" t="s">
        <v>414</v>
      </c>
      <c r="E4" s="213" t="s">
        <v>415</v>
      </c>
      <c r="F4" s="795" t="s">
        <v>416</v>
      </c>
      <c r="G4" s="44"/>
      <c r="H4" s="212" t="s">
        <v>209</v>
      </c>
      <c r="I4" s="356" t="s">
        <v>9</v>
      </c>
      <c r="J4" s="794" t="s">
        <v>413</v>
      </c>
      <c r="K4" s="794" t="s">
        <v>414</v>
      </c>
      <c r="L4" s="213" t="s">
        <v>415</v>
      </c>
      <c r="M4" s="795" t="s">
        <v>416</v>
      </c>
    </row>
    <row r="5" spans="1:13" ht="27" thickTop="1" thickBot="1" x14ac:dyDescent="0.25">
      <c r="A5" s="214" t="s">
        <v>210</v>
      </c>
      <c r="B5" s="359"/>
      <c r="C5" s="980">
        <v>0</v>
      </c>
      <c r="D5" s="981">
        <f>IF($K$2="Y",((C5-E5)/1.14),C5)</f>
        <v>0</v>
      </c>
      <c r="E5" s="980"/>
      <c r="F5" s="982">
        <f>SUM(D5:E5)</f>
        <v>0</v>
      </c>
      <c r="G5" s="29"/>
      <c r="H5" s="215" t="s">
        <v>211</v>
      </c>
      <c r="I5" s="358"/>
      <c r="J5" s="987">
        <f>C42</f>
        <v>0</v>
      </c>
      <c r="K5" s="988">
        <f>D42</f>
        <v>0</v>
      </c>
      <c r="L5" s="987">
        <f>E42</f>
        <v>0</v>
      </c>
      <c r="M5" s="989">
        <f>SUM(K5:L5)</f>
        <v>0</v>
      </c>
    </row>
    <row r="6" spans="1:13" x14ac:dyDescent="0.2">
      <c r="A6" s="216">
        <f t="shared" ref="A6:A41" si="0">A5+1</f>
        <v>2</v>
      </c>
      <c r="B6" s="360"/>
      <c r="C6" s="980">
        <v>0</v>
      </c>
      <c r="D6" s="981">
        <f t="shared" ref="D6:D41" si="1">IF($K$2="Y",((C6-E6)/1.14),C6)</f>
        <v>0</v>
      </c>
      <c r="E6" s="980">
        <v>0</v>
      </c>
      <c r="F6" s="982">
        <f t="shared" ref="F6:F41" si="2">SUM(D6:E6)</f>
        <v>0</v>
      </c>
      <c r="G6" s="29"/>
      <c r="H6" s="217" t="s">
        <v>212</v>
      </c>
      <c r="I6" s="359"/>
      <c r="J6" s="985">
        <v>0</v>
      </c>
      <c r="K6" s="981">
        <f t="shared" ref="K6:K41" si="3">IF($K$2="Y",((J6-L6)/1.14),J6)</f>
        <v>0</v>
      </c>
      <c r="L6" s="985">
        <v>0</v>
      </c>
      <c r="M6" s="986">
        <f t="shared" ref="M6:M41" si="4">SUM(K6:L6)</f>
        <v>0</v>
      </c>
    </row>
    <row r="7" spans="1:13" x14ac:dyDescent="0.2">
      <c r="A7" s="216">
        <f t="shared" si="0"/>
        <v>3</v>
      </c>
      <c r="B7" s="360"/>
      <c r="C7" s="980">
        <v>0</v>
      </c>
      <c r="D7" s="981">
        <f t="shared" si="1"/>
        <v>0</v>
      </c>
      <c r="E7" s="980">
        <v>0</v>
      </c>
      <c r="F7" s="982">
        <f t="shared" si="2"/>
        <v>0</v>
      </c>
      <c r="G7" s="29"/>
      <c r="H7" s="216">
        <f t="shared" ref="H7:H41" si="5">H6+1</f>
        <v>39</v>
      </c>
      <c r="I7" s="360"/>
      <c r="J7" s="980">
        <v>0</v>
      </c>
      <c r="K7" s="981">
        <f t="shared" si="3"/>
        <v>0</v>
      </c>
      <c r="L7" s="980">
        <v>0</v>
      </c>
      <c r="M7" s="982">
        <f t="shared" si="4"/>
        <v>0</v>
      </c>
    </row>
    <row r="8" spans="1:13" x14ac:dyDescent="0.2">
      <c r="A8" s="216">
        <f t="shared" si="0"/>
        <v>4</v>
      </c>
      <c r="B8" s="360"/>
      <c r="C8" s="980">
        <v>0</v>
      </c>
      <c r="D8" s="981">
        <f t="shared" si="1"/>
        <v>0</v>
      </c>
      <c r="E8" s="980">
        <v>0</v>
      </c>
      <c r="F8" s="982">
        <f t="shared" si="2"/>
        <v>0</v>
      </c>
      <c r="G8" s="29"/>
      <c r="H8" s="216">
        <f t="shared" si="5"/>
        <v>40</v>
      </c>
      <c r="I8" s="360"/>
      <c r="J8" s="980">
        <v>0</v>
      </c>
      <c r="K8" s="981">
        <f t="shared" si="3"/>
        <v>0</v>
      </c>
      <c r="L8" s="980">
        <v>0</v>
      </c>
      <c r="M8" s="982">
        <f t="shared" si="4"/>
        <v>0</v>
      </c>
    </row>
    <row r="9" spans="1:13" x14ac:dyDescent="0.2">
      <c r="A9" s="216">
        <f t="shared" si="0"/>
        <v>5</v>
      </c>
      <c r="B9" s="360"/>
      <c r="C9" s="980">
        <v>0</v>
      </c>
      <c r="D9" s="981">
        <f t="shared" si="1"/>
        <v>0</v>
      </c>
      <c r="E9" s="980">
        <v>0</v>
      </c>
      <c r="F9" s="982">
        <f t="shared" si="2"/>
        <v>0</v>
      </c>
      <c r="G9" s="29"/>
      <c r="H9" s="216">
        <f t="shared" si="5"/>
        <v>41</v>
      </c>
      <c r="I9" s="360"/>
      <c r="J9" s="980">
        <v>0</v>
      </c>
      <c r="K9" s="981">
        <f t="shared" si="3"/>
        <v>0</v>
      </c>
      <c r="L9" s="980">
        <v>0</v>
      </c>
      <c r="M9" s="982">
        <f t="shared" si="4"/>
        <v>0</v>
      </c>
    </row>
    <row r="10" spans="1:13" x14ac:dyDescent="0.2">
      <c r="A10" s="216">
        <f t="shared" si="0"/>
        <v>6</v>
      </c>
      <c r="B10" s="360"/>
      <c r="C10" s="980">
        <v>0</v>
      </c>
      <c r="D10" s="981">
        <f t="shared" si="1"/>
        <v>0</v>
      </c>
      <c r="E10" s="980">
        <v>0</v>
      </c>
      <c r="F10" s="982">
        <f t="shared" si="2"/>
        <v>0</v>
      </c>
      <c r="G10" s="29"/>
      <c r="H10" s="216">
        <f t="shared" si="5"/>
        <v>42</v>
      </c>
      <c r="I10" s="360"/>
      <c r="J10" s="980">
        <v>0</v>
      </c>
      <c r="K10" s="981">
        <f t="shared" si="3"/>
        <v>0</v>
      </c>
      <c r="L10" s="980">
        <v>0</v>
      </c>
      <c r="M10" s="982">
        <f t="shared" si="4"/>
        <v>0</v>
      </c>
    </row>
    <row r="11" spans="1:13" x14ac:dyDescent="0.2">
      <c r="A11" s="216">
        <f t="shared" si="0"/>
        <v>7</v>
      </c>
      <c r="B11" s="360"/>
      <c r="C11" s="980">
        <v>0</v>
      </c>
      <c r="D11" s="981">
        <f t="shared" si="1"/>
        <v>0</v>
      </c>
      <c r="E11" s="980">
        <v>0</v>
      </c>
      <c r="F11" s="982">
        <f t="shared" si="2"/>
        <v>0</v>
      </c>
      <c r="G11" s="29"/>
      <c r="H11" s="216">
        <f t="shared" si="5"/>
        <v>43</v>
      </c>
      <c r="I11" s="360"/>
      <c r="J11" s="980">
        <v>0</v>
      </c>
      <c r="K11" s="981">
        <f t="shared" si="3"/>
        <v>0</v>
      </c>
      <c r="L11" s="980">
        <v>0</v>
      </c>
      <c r="M11" s="982">
        <f t="shared" si="4"/>
        <v>0</v>
      </c>
    </row>
    <row r="12" spans="1:13" x14ac:dyDescent="0.2">
      <c r="A12" s="216">
        <f t="shared" si="0"/>
        <v>8</v>
      </c>
      <c r="B12" s="360"/>
      <c r="C12" s="980">
        <v>0</v>
      </c>
      <c r="D12" s="981">
        <f t="shared" si="1"/>
        <v>0</v>
      </c>
      <c r="E12" s="980">
        <v>0</v>
      </c>
      <c r="F12" s="982">
        <f t="shared" si="2"/>
        <v>0</v>
      </c>
      <c r="G12" s="29"/>
      <c r="H12" s="216">
        <f t="shared" si="5"/>
        <v>44</v>
      </c>
      <c r="I12" s="360"/>
      <c r="J12" s="980">
        <v>0</v>
      </c>
      <c r="K12" s="981">
        <f t="shared" si="3"/>
        <v>0</v>
      </c>
      <c r="L12" s="980">
        <v>0</v>
      </c>
      <c r="M12" s="982">
        <f t="shared" si="4"/>
        <v>0</v>
      </c>
    </row>
    <row r="13" spans="1:13" x14ac:dyDescent="0.2">
      <c r="A13" s="216">
        <f t="shared" si="0"/>
        <v>9</v>
      </c>
      <c r="B13" s="360"/>
      <c r="C13" s="980">
        <v>0</v>
      </c>
      <c r="D13" s="981">
        <f t="shared" si="1"/>
        <v>0</v>
      </c>
      <c r="E13" s="980">
        <v>0</v>
      </c>
      <c r="F13" s="982">
        <f t="shared" si="2"/>
        <v>0</v>
      </c>
      <c r="G13" s="29"/>
      <c r="H13" s="216">
        <f t="shared" si="5"/>
        <v>45</v>
      </c>
      <c r="I13" s="360"/>
      <c r="J13" s="980">
        <v>0</v>
      </c>
      <c r="K13" s="981">
        <f t="shared" si="3"/>
        <v>0</v>
      </c>
      <c r="L13" s="980">
        <v>0</v>
      </c>
      <c r="M13" s="982">
        <f t="shared" si="4"/>
        <v>0</v>
      </c>
    </row>
    <row r="14" spans="1:13" x14ac:dyDescent="0.2">
      <c r="A14" s="216">
        <f t="shared" si="0"/>
        <v>10</v>
      </c>
      <c r="B14" s="360"/>
      <c r="C14" s="980">
        <v>0</v>
      </c>
      <c r="D14" s="981">
        <f t="shared" si="1"/>
        <v>0</v>
      </c>
      <c r="E14" s="980">
        <v>0</v>
      </c>
      <c r="F14" s="982">
        <f t="shared" si="2"/>
        <v>0</v>
      </c>
      <c r="G14" s="29"/>
      <c r="H14" s="216">
        <f t="shared" si="5"/>
        <v>46</v>
      </c>
      <c r="I14" s="360"/>
      <c r="J14" s="980">
        <v>0</v>
      </c>
      <c r="K14" s="981">
        <f t="shared" si="3"/>
        <v>0</v>
      </c>
      <c r="L14" s="980">
        <v>0</v>
      </c>
      <c r="M14" s="982">
        <f t="shared" si="4"/>
        <v>0</v>
      </c>
    </row>
    <row r="15" spans="1:13" x14ac:dyDescent="0.2">
      <c r="A15" s="216">
        <f t="shared" si="0"/>
        <v>11</v>
      </c>
      <c r="B15" s="360"/>
      <c r="C15" s="980">
        <v>0</v>
      </c>
      <c r="D15" s="981">
        <f t="shared" si="1"/>
        <v>0</v>
      </c>
      <c r="E15" s="980">
        <v>0</v>
      </c>
      <c r="F15" s="982">
        <f t="shared" si="2"/>
        <v>0</v>
      </c>
      <c r="G15" s="29"/>
      <c r="H15" s="216">
        <f t="shared" si="5"/>
        <v>47</v>
      </c>
      <c r="I15" s="360"/>
      <c r="J15" s="980">
        <v>0</v>
      </c>
      <c r="K15" s="981">
        <f t="shared" si="3"/>
        <v>0</v>
      </c>
      <c r="L15" s="980">
        <v>0</v>
      </c>
      <c r="M15" s="982">
        <f t="shared" si="4"/>
        <v>0</v>
      </c>
    </row>
    <row r="16" spans="1:13" x14ac:dyDescent="0.2">
      <c r="A16" s="216">
        <f t="shared" si="0"/>
        <v>12</v>
      </c>
      <c r="B16" s="360"/>
      <c r="C16" s="980">
        <v>0</v>
      </c>
      <c r="D16" s="981">
        <f t="shared" si="1"/>
        <v>0</v>
      </c>
      <c r="E16" s="980">
        <v>0</v>
      </c>
      <c r="F16" s="982">
        <f t="shared" si="2"/>
        <v>0</v>
      </c>
      <c r="G16" s="29"/>
      <c r="H16" s="216">
        <f t="shared" si="5"/>
        <v>48</v>
      </c>
      <c r="I16" s="360"/>
      <c r="J16" s="980">
        <v>0</v>
      </c>
      <c r="K16" s="981">
        <f t="shared" si="3"/>
        <v>0</v>
      </c>
      <c r="L16" s="980">
        <v>0</v>
      </c>
      <c r="M16" s="982">
        <f t="shared" si="4"/>
        <v>0</v>
      </c>
    </row>
    <row r="17" spans="1:13" x14ac:dyDescent="0.2">
      <c r="A17" s="216">
        <f t="shared" si="0"/>
        <v>13</v>
      </c>
      <c r="B17" s="360"/>
      <c r="C17" s="980">
        <v>0</v>
      </c>
      <c r="D17" s="981">
        <f t="shared" si="1"/>
        <v>0</v>
      </c>
      <c r="E17" s="980">
        <v>0</v>
      </c>
      <c r="F17" s="982">
        <f t="shared" si="2"/>
        <v>0</v>
      </c>
      <c r="G17" s="29"/>
      <c r="H17" s="216">
        <f t="shared" si="5"/>
        <v>49</v>
      </c>
      <c r="I17" s="360"/>
      <c r="J17" s="980">
        <v>0</v>
      </c>
      <c r="K17" s="981">
        <f t="shared" si="3"/>
        <v>0</v>
      </c>
      <c r="L17" s="980">
        <v>0</v>
      </c>
      <c r="M17" s="982">
        <f t="shared" si="4"/>
        <v>0</v>
      </c>
    </row>
    <row r="18" spans="1:13" x14ac:dyDescent="0.2">
      <c r="A18" s="216">
        <f t="shared" si="0"/>
        <v>14</v>
      </c>
      <c r="B18" s="360"/>
      <c r="C18" s="980">
        <v>0</v>
      </c>
      <c r="D18" s="981">
        <f t="shared" si="1"/>
        <v>0</v>
      </c>
      <c r="E18" s="980">
        <v>0</v>
      </c>
      <c r="F18" s="982">
        <f t="shared" si="2"/>
        <v>0</v>
      </c>
      <c r="G18" s="29"/>
      <c r="H18" s="216">
        <f t="shared" si="5"/>
        <v>50</v>
      </c>
      <c r="I18" s="360"/>
      <c r="J18" s="980">
        <v>0</v>
      </c>
      <c r="K18" s="981">
        <f t="shared" si="3"/>
        <v>0</v>
      </c>
      <c r="L18" s="980">
        <v>0</v>
      </c>
      <c r="M18" s="982">
        <f t="shared" si="4"/>
        <v>0</v>
      </c>
    </row>
    <row r="19" spans="1:13" x14ac:dyDescent="0.2">
      <c r="A19" s="216">
        <f t="shared" si="0"/>
        <v>15</v>
      </c>
      <c r="B19" s="360"/>
      <c r="C19" s="980">
        <v>0</v>
      </c>
      <c r="D19" s="981">
        <f t="shared" si="1"/>
        <v>0</v>
      </c>
      <c r="E19" s="980">
        <v>0</v>
      </c>
      <c r="F19" s="982">
        <f t="shared" si="2"/>
        <v>0</v>
      </c>
      <c r="G19" s="29"/>
      <c r="H19" s="216">
        <f t="shared" si="5"/>
        <v>51</v>
      </c>
      <c r="I19" s="360"/>
      <c r="J19" s="980">
        <v>0</v>
      </c>
      <c r="K19" s="981">
        <f t="shared" si="3"/>
        <v>0</v>
      </c>
      <c r="L19" s="980">
        <v>0</v>
      </c>
      <c r="M19" s="982">
        <f t="shared" si="4"/>
        <v>0</v>
      </c>
    </row>
    <row r="20" spans="1:13" x14ac:dyDescent="0.2">
      <c r="A20" s="216">
        <f t="shared" si="0"/>
        <v>16</v>
      </c>
      <c r="B20" s="360"/>
      <c r="C20" s="980">
        <v>0</v>
      </c>
      <c r="D20" s="981">
        <f t="shared" si="1"/>
        <v>0</v>
      </c>
      <c r="E20" s="980">
        <v>0</v>
      </c>
      <c r="F20" s="982">
        <f t="shared" si="2"/>
        <v>0</v>
      </c>
      <c r="G20" s="29"/>
      <c r="H20" s="216">
        <f t="shared" si="5"/>
        <v>52</v>
      </c>
      <c r="I20" s="360"/>
      <c r="J20" s="980">
        <v>0</v>
      </c>
      <c r="K20" s="981">
        <f t="shared" si="3"/>
        <v>0</v>
      </c>
      <c r="L20" s="980">
        <v>0</v>
      </c>
      <c r="M20" s="982">
        <f t="shared" si="4"/>
        <v>0</v>
      </c>
    </row>
    <row r="21" spans="1:13" x14ac:dyDescent="0.2">
      <c r="A21" s="216">
        <f t="shared" si="0"/>
        <v>17</v>
      </c>
      <c r="B21" s="360"/>
      <c r="C21" s="980">
        <v>0</v>
      </c>
      <c r="D21" s="981">
        <f t="shared" si="1"/>
        <v>0</v>
      </c>
      <c r="E21" s="980">
        <v>0</v>
      </c>
      <c r="F21" s="982">
        <f t="shared" si="2"/>
        <v>0</v>
      </c>
      <c r="G21" s="218"/>
      <c r="H21" s="216">
        <f t="shared" si="5"/>
        <v>53</v>
      </c>
      <c r="I21" s="360"/>
      <c r="J21" s="980">
        <v>0</v>
      </c>
      <c r="K21" s="981">
        <f t="shared" si="3"/>
        <v>0</v>
      </c>
      <c r="L21" s="980">
        <v>0</v>
      </c>
      <c r="M21" s="982">
        <f t="shared" si="4"/>
        <v>0</v>
      </c>
    </row>
    <row r="22" spans="1:13" x14ac:dyDescent="0.2">
      <c r="A22" s="216">
        <f t="shared" si="0"/>
        <v>18</v>
      </c>
      <c r="B22" s="360"/>
      <c r="C22" s="980">
        <v>0</v>
      </c>
      <c r="D22" s="981">
        <f t="shared" si="1"/>
        <v>0</v>
      </c>
      <c r="E22" s="980">
        <v>0</v>
      </c>
      <c r="F22" s="982">
        <f t="shared" si="2"/>
        <v>0</v>
      </c>
      <c r="G22" s="218"/>
      <c r="H22" s="216">
        <f t="shared" si="5"/>
        <v>54</v>
      </c>
      <c r="I22" s="360"/>
      <c r="J22" s="980">
        <v>0</v>
      </c>
      <c r="K22" s="981">
        <f t="shared" si="3"/>
        <v>0</v>
      </c>
      <c r="L22" s="980">
        <v>0</v>
      </c>
      <c r="M22" s="982">
        <f t="shared" si="4"/>
        <v>0</v>
      </c>
    </row>
    <row r="23" spans="1:13" x14ac:dyDescent="0.2">
      <c r="A23" s="216">
        <f t="shared" si="0"/>
        <v>19</v>
      </c>
      <c r="B23" s="360"/>
      <c r="C23" s="980">
        <v>0</v>
      </c>
      <c r="D23" s="981">
        <f t="shared" si="1"/>
        <v>0</v>
      </c>
      <c r="E23" s="980">
        <v>0</v>
      </c>
      <c r="F23" s="982">
        <f t="shared" si="2"/>
        <v>0</v>
      </c>
      <c r="G23" s="218"/>
      <c r="H23" s="216">
        <f t="shared" si="5"/>
        <v>55</v>
      </c>
      <c r="I23" s="360"/>
      <c r="J23" s="980">
        <v>0</v>
      </c>
      <c r="K23" s="981">
        <f t="shared" si="3"/>
        <v>0</v>
      </c>
      <c r="L23" s="980">
        <v>0</v>
      </c>
      <c r="M23" s="982">
        <f t="shared" si="4"/>
        <v>0</v>
      </c>
    </row>
    <row r="24" spans="1:13" x14ac:dyDescent="0.2">
      <c r="A24" s="216">
        <f t="shared" si="0"/>
        <v>20</v>
      </c>
      <c r="B24" s="360"/>
      <c r="C24" s="980">
        <v>0</v>
      </c>
      <c r="D24" s="981">
        <f t="shared" si="1"/>
        <v>0</v>
      </c>
      <c r="E24" s="980">
        <v>0</v>
      </c>
      <c r="F24" s="982">
        <f t="shared" si="2"/>
        <v>0</v>
      </c>
      <c r="G24" s="29"/>
      <c r="H24" s="216">
        <f t="shared" si="5"/>
        <v>56</v>
      </c>
      <c r="I24" s="360"/>
      <c r="J24" s="980">
        <v>0</v>
      </c>
      <c r="K24" s="981">
        <f t="shared" si="3"/>
        <v>0</v>
      </c>
      <c r="L24" s="980">
        <v>0</v>
      </c>
      <c r="M24" s="982">
        <f t="shared" si="4"/>
        <v>0</v>
      </c>
    </row>
    <row r="25" spans="1:13" x14ac:dyDescent="0.2">
      <c r="A25" s="216">
        <f t="shared" si="0"/>
        <v>21</v>
      </c>
      <c r="B25" s="360"/>
      <c r="C25" s="980">
        <v>0</v>
      </c>
      <c r="D25" s="981">
        <f t="shared" si="1"/>
        <v>0</v>
      </c>
      <c r="E25" s="980">
        <v>0</v>
      </c>
      <c r="F25" s="982">
        <f t="shared" si="2"/>
        <v>0</v>
      </c>
      <c r="G25" s="29"/>
      <c r="H25" s="216">
        <f t="shared" si="5"/>
        <v>57</v>
      </c>
      <c r="I25" s="360"/>
      <c r="J25" s="980">
        <v>0</v>
      </c>
      <c r="K25" s="981">
        <f t="shared" si="3"/>
        <v>0</v>
      </c>
      <c r="L25" s="980">
        <v>0</v>
      </c>
      <c r="M25" s="982">
        <f t="shared" si="4"/>
        <v>0</v>
      </c>
    </row>
    <row r="26" spans="1:13" x14ac:dyDescent="0.2">
      <c r="A26" s="216">
        <f t="shared" si="0"/>
        <v>22</v>
      </c>
      <c r="B26" s="360"/>
      <c r="C26" s="980">
        <v>0</v>
      </c>
      <c r="D26" s="981">
        <f t="shared" si="1"/>
        <v>0</v>
      </c>
      <c r="E26" s="980">
        <v>0</v>
      </c>
      <c r="F26" s="982">
        <f t="shared" si="2"/>
        <v>0</v>
      </c>
      <c r="G26" s="29"/>
      <c r="H26" s="216">
        <f t="shared" si="5"/>
        <v>58</v>
      </c>
      <c r="I26" s="360"/>
      <c r="J26" s="980">
        <v>0</v>
      </c>
      <c r="K26" s="981">
        <f t="shared" si="3"/>
        <v>0</v>
      </c>
      <c r="L26" s="980">
        <v>0</v>
      </c>
      <c r="M26" s="982">
        <f t="shared" si="4"/>
        <v>0</v>
      </c>
    </row>
    <row r="27" spans="1:13" x14ac:dyDescent="0.2">
      <c r="A27" s="216">
        <f t="shared" si="0"/>
        <v>23</v>
      </c>
      <c r="B27" s="360"/>
      <c r="C27" s="980">
        <v>0</v>
      </c>
      <c r="D27" s="981">
        <f t="shared" si="1"/>
        <v>0</v>
      </c>
      <c r="E27" s="980">
        <v>0</v>
      </c>
      <c r="F27" s="982">
        <f t="shared" si="2"/>
        <v>0</v>
      </c>
      <c r="G27" s="29"/>
      <c r="H27" s="216">
        <f t="shared" si="5"/>
        <v>59</v>
      </c>
      <c r="I27" s="360"/>
      <c r="J27" s="980">
        <v>0</v>
      </c>
      <c r="K27" s="981">
        <f t="shared" si="3"/>
        <v>0</v>
      </c>
      <c r="L27" s="980">
        <v>0</v>
      </c>
      <c r="M27" s="982">
        <f t="shared" si="4"/>
        <v>0</v>
      </c>
    </row>
    <row r="28" spans="1:13" x14ac:dyDescent="0.2">
      <c r="A28" s="216">
        <f t="shared" si="0"/>
        <v>24</v>
      </c>
      <c r="B28" s="360"/>
      <c r="C28" s="980">
        <v>0</v>
      </c>
      <c r="D28" s="981">
        <f t="shared" si="1"/>
        <v>0</v>
      </c>
      <c r="E28" s="980">
        <v>0</v>
      </c>
      <c r="F28" s="982">
        <f t="shared" si="2"/>
        <v>0</v>
      </c>
      <c r="G28" s="29"/>
      <c r="H28" s="216">
        <f t="shared" si="5"/>
        <v>60</v>
      </c>
      <c r="I28" s="360"/>
      <c r="J28" s="980">
        <v>0</v>
      </c>
      <c r="K28" s="981">
        <f t="shared" si="3"/>
        <v>0</v>
      </c>
      <c r="L28" s="980">
        <v>0</v>
      </c>
      <c r="M28" s="982">
        <f t="shared" si="4"/>
        <v>0</v>
      </c>
    </row>
    <row r="29" spans="1:13" x14ac:dyDescent="0.2">
      <c r="A29" s="216">
        <f t="shared" si="0"/>
        <v>25</v>
      </c>
      <c r="B29" s="360"/>
      <c r="C29" s="980">
        <v>0</v>
      </c>
      <c r="D29" s="981">
        <f t="shared" si="1"/>
        <v>0</v>
      </c>
      <c r="E29" s="980">
        <v>0</v>
      </c>
      <c r="F29" s="982">
        <f t="shared" si="2"/>
        <v>0</v>
      </c>
      <c r="G29" s="29"/>
      <c r="H29" s="216">
        <f t="shared" si="5"/>
        <v>61</v>
      </c>
      <c r="I29" s="360"/>
      <c r="J29" s="980">
        <v>0</v>
      </c>
      <c r="K29" s="981">
        <f t="shared" si="3"/>
        <v>0</v>
      </c>
      <c r="L29" s="980">
        <v>0</v>
      </c>
      <c r="M29" s="982">
        <f t="shared" si="4"/>
        <v>0</v>
      </c>
    </row>
    <row r="30" spans="1:13" x14ac:dyDescent="0.2">
      <c r="A30" s="216">
        <f t="shared" si="0"/>
        <v>26</v>
      </c>
      <c r="B30" s="360"/>
      <c r="C30" s="980">
        <v>0</v>
      </c>
      <c r="D30" s="981">
        <f t="shared" si="1"/>
        <v>0</v>
      </c>
      <c r="E30" s="980">
        <v>0</v>
      </c>
      <c r="F30" s="982">
        <f t="shared" si="2"/>
        <v>0</v>
      </c>
      <c r="G30" s="29"/>
      <c r="H30" s="216">
        <f t="shared" si="5"/>
        <v>62</v>
      </c>
      <c r="I30" s="360"/>
      <c r="J30" s="980">
        <v>0</v>
      </c>
      <c r="K30" s="981">
        <f t="shared" si="3"/>
        <v>0</v>
      </c>
      <c r="L30" s="980">
        <v>0</v>
      </c>
      <c r="M30" s="982">
        <f t="shared" si="4"/>
        <v>0</v>
      </c>
    </row>
    <row r="31" spans="1:13" x14ac:dyDescent="0.2">
      <c r="A31" s="216">
        <f t="shared" si="0"/>
        <v>27</v>
      </c>
      <c r="B31" s="360"/>
      <c r="C31" s="980">
        <v>0</v>
      </c>
      <c r="D31" s="981">
        <f t="shared" si="1"/>
        <v>0</v>
      </c>
      <c r="E31" s="980">
        <v>0</v>
      </c>
      <c r="F31" s="982">
        <f t="shared" si="2"/>
        <v>0</v>
      </c>
      <c r="G31" s="29"/>
      <c r="H31" s="216">
        <f t="shared" si="5"/>
        <v>63</v>
      </c>
      <c r="I31" s="360"/>
      <c r="J31" s="980">
        <v>0</v>
      </c>
      <c r="K31" s="981">
        <f t="shared" si="3"/>
        <v>0</v>
      </c>
      <c r="L31" s="980">
        <v>0</v>
      </c>
      <c r="M31" s="982">
        <f t="shared" si="4"/>
        <v>0</v>
      </c>
    </row>
    <row r="32" spans="1:13" x14ac:dyDescent="0.2">
      <c r="A32" s="216">
        <f t="shared" si="0"/>
        <v>28</v>
      </c>
      <c r="B32" s="360"/>
      <c r="C32" s="980">
        <v>0</v>
      </c>
      <c r="D32" s="981">
        <f t="shared" si="1"/>
        <v>0</v>
      </c>
      <c r="E32" s="980">
        <v>0</v>
      </c>
      <c r="F32" s="982">
        <f t="shared" si="2"/>
        <v>0</v>
      </c>
      <c r="G32" s="29"/>
      <c r="H32" s="216">
        <f t="shared" si="5"/>
        <v>64</v>
      </c>
      <c r="I32" s="360"/>
      <c r="J32" s="980">
        <v>0</v>
      </c>
      <c r="K32" s="981">
        <f t="shared" si="3"/>
        <v>0</v>
      </c>
      <c r="L32" s="980">
        <v>0</v>
      </c>
      <c r="M32" s="982">
        <f t="shared" si="4"/>
        <v>0</v>
      </c>
    </row>
    <row r="33" spans="1:13" x14ac:dyDescent="0.2">
      <c r="A33" s="216">
        <f t="shared" si="0"/>
        <v>29</v>
      </c>
      <c r="B33" s="360"/>
      <c r="C33" s="980">
        <v>0</v>
      </c>
      <c r="D33" s="981">
        <f t="shared" si="1"/>
        <v>0</v>
      </c>
      <c r="E33" s="980">
        <v>0</v>
      </c>
      <c r="F33" s="982">
        <f t="shared" si="2"/>
        <v>0</v>
      </c>
      <c r="G33" s="29"/>
      <c r="H33" s="216">
        <f t="shared" si="5"/>
        <v>65</v>
      </c>
      <c r="I33" s="360"/>
      <c r="J33" s="980">
        <v>0</v>
      </c>
      <c r="K33" s="981">
        <f t="shared" si="3"/>
        <v>0</v>
      </c>
      <c r="L33" s="980">
        <v>0</v>
      </c>
      <c r="M33" s="982">
        <f t="shared" si="4"/>
        <v>0</v>
      </c>
    </row>
    <row r="34" spans="1:13" x14ac:dyDescent="0.2">
      <c r="A34" s="216">
        <f t="shared" si="0"/>
        <v>30</v>
      </c>
      <c r="B34" s="360"/>
      <c r="C34" s="980">
        <v>0</v>
      </c>
      <c r="D34" s="981">
        <f t="shared" si="1"/>
        <v>0</v>
      </c>
      <c r="E34" s="980">
        <v>0</v>
      </c>
      <c r="F34" s="982">
        <f t="shared" si="2"/>
        <v>0</v>
      </c>
      <c r="G34" s="29"/>
      <c r="H34" s="216">
        <f t="shared" si="5"/>
        <v>66</v>
      </c>
      <c r="I34" s="360"/>
      <c r="J34" s="980">
        <v>0</v>
      </c>
      <c r="K34" s="981">
        <f t="shared" si="3"/>
        <v>0</v>
      </c>
      <c r="L34" s="980">
        <v>0</v>
      </c>
      <c r="M34" s="982">
        <f t="shared" si="4"/>
        <v>0</v>
      </c>
    </row>
    <row r="35" spans="1:13" x14ac:dyDescent="0.2">
      <c r="A35" s="216">
        <f t="shared" si="0"/>
        <v>31</v>
      </c>
      <c r="B35" s="360"/>
      <c r="C35" s="980">
        <v>0</v>
      </c>
      <c r="D35" s="981">
        <f t="shared" si="1"/>
        <v>0</v>
      </c>
      <c r="E35" s="980">
        <v>0</v>
      </c>
      <c r="F35" s="982">
        <f t="shared" si="2"/>
        <v>0</v>
      </c>
      <c r="G35" s="29"/>
      <c r="H35" s="216">
        <f t="shared" si="5"/>
        <v>67</v>
      </c>
      <c r="I35" s="360"/>
      <c r="J35" s="980">
        <v>0</v>
      </c>
      <c r="K35" s="981">
        <f t="shared" si="3"/>
        <v>0</v>
      </c>
      <c r="L35" s="980">
        <v>0</v>
      </c>
      <c r="M35" s="982">
        <f t="shared" si="4"/>
        <v>0</v>
      </c>
    </row>
    <row r="36" spans="1:13" x14ac:dyDescent="0.2">
      <c r="A36" s="216">
        <f t="shared" si="0"/>
        <v>32</v>
      </c>
      <c r="B36" s="360"/>
      <c r="C36" s="980">
        <v>0</v>
      </c>
      <c r="D36" s="981">
        <f t="shared" si="1"/>
        <v>0</v>
      </c>
      <c r="E36" s="980">
        <v>0</v>
      </c>
      <c r="F36" s="982">
        <f t="shared" si="2"/>
        <v>0</v>
      </c>
      <c r="G36" s="29"/>
      <c r="H36" s="216">
        <f t="shared" si="5"/>
        <v>68</v>
      </c>
      <c r="I36" s="360"/>
      <c r="J36" s="980">
        <v>0</v>
      </c>
      <c r="K36" s="981">
        <f t="shared" si="3"/>
        <v>0</v>
      </c>
      <c r="L36" s="980">
        <v>0</v>
      </c>
      <c r="M36" s="982">
        <f t="shared" si="4"/>
        <v>0</v>
      </c>
    </row>
    <row r="37" spans="1:13" x14ac:dyDescent="0.2">
      <c r="A37" s="216">
        <f t="shared" si="0"/>
        <v>33</v>
      </c>
      <c r="B37" s="360"/>
      <c r="C37" s="980">
        <v>0</v>
      </c>
      <c r="D37" s="981">
        <f t="shared" si="1"/>
        <v>0</v>
      </c>
      <c r="E37" s="980">
        <v>0</v>
      </c>
      <c r="F37" s="982">
        <f t="shared" si="2"/>
        <v>0</v>
      </c>
      <c r="G37" s="29"/>
      <c r="H37" s="216">
        <f t="shared" si="5"/>
        <v>69</v>
      </c>
      <c r="I37" s="360"/>
      <c r="J37" s="980">
        <v>0</v>
      </c>
      <c r="K37" s="981">
        <f t="shared" si="3"/>
        <v>0</v>
      </c>
      <c r="L37" s="980">
        <v>0</v>
      </c>
      <c r="M37" s="982">
        <f t="shared" si="4"/>
        <v>0</v>
      </c>
    </row>
    <row r="38" spans="1:13" x14ac:dyDescent="0.2">
      <c r="A38" s="216">
        <f t="shared" si="0"/>
        <v>34</v>
      </c>
      <c r="B38" s="360"/>
      <c r="C38" s="980">
        <v>0</v>
      </c>
      <c r="D38" s="981">
        <f t="shared" si="1"/>
        <v>0</v>
      </c>
      <c r="E38" s="980">
        <v>0</v>
      </c>
      <c r="F38" s="982">
        <f t="shared" si="2"/>
        <v>0</v>
      </c>
      <c r="G38" s="29"/>
      <c r="H38" s="216">
        <f t="shared" si="5"/>
        <v>70</v>
      </c>
      <c r="I38" s="360"/>
      <c r="J38" s="980">
        <v>0</v>
      </c>
      <c r="K38" s="981">
        <f t="shared" si="3"/>
        <v>0</v>
      </c>
      <c r="L38" s="980">
        <v>0</v>
      </c>
      <c r="M38" s="982">
        <f t="shared" si="4"/>
        <v>0</v>
      </c>
    </row>
    <row r="39" spans="1:13" x14ac:dyDescent="0.2">
      <c r="A39" s="216">
        <f t="shared" si="0"/>
        <v>35</v>
      </c>
      <c r="B39" s="360"/>
      <c r="C39" s="980">
        <v>0</v>
      </c>
      <c r="D39" s="981">
        <f t="shared" si="1"/>
        <v>0</v>
      </c>
      <c r="E39" s="980">
        <v>0</v>
      </c>
      <c r="F39" s="982">
        <f t="shared" si="2"/>
        <v>0</v>
      </c>
      <c r="G39" s="29"/>
      <c r="H39" s="216">
        <f t="shared" si="5"/>
        <v>71</v>
      </c>
      <c r="I39" s="360"/>
      <c r="J39" s="980">
        <v>0</v>
      </c>
      <c r="K39" s="981">
        <f t="shared" si="3"/>
        <v>0</v>
      </c>
      <c r="L39" s="980">
        <v>0</v>
      </c>
      <c r="M39" s="982">
        <f t="shared" si="4"/>
        <v>0</v>
      </c>
    </row>
    <row r="40" spans="1:13" x14ac:dyDescent="0.2">
      <c r="A40" s="216">
        <f t="shared" si="0"/>
        <v>36</v>
      </c>
      <c r="B40" s="360"/>
      <c r="C40" s="980">
        <v>0</v>
      </c>
      <c r="D40" s="981">
        <f t="shared" si="1"/>
        <v>0</v>
      </c>
      <c r="E40" s="980">
        <v>0</v>
      </c>
      <c r="F40" s="982">
        <f t="shared" si="2"/>
        <v>0</v>
      </c>
      <c r="G40" s="29"/>
      <c r="H40" s="216">
        <f t="shared" si="5"/>
        <v>72</v>
      </c>
      <c r="I40" s="360"/>
      <c r="J40" s="980">
        <v>0</v>
      </c>
      <c r="K40" s="981">
        <f t="shared" si="3"/>
        <v>0</v>
      </c>
      <c r="L40" s="980">
        <v>0</v>
      </c>
      <c r="M40" s="982">
        <f t="shared" si="4"/>
        <v>0</v>
      </c>
    </row>
    <row r="41" spans="1:13" ht="15.75" thickBot="1" x14ac:dyDescent="0.25">
      <c r="A41" s="216">
        <f t="shared" si="0"/>
        <v>37</v>
      </c>
      <c r="B41" s="360"/>
      <c r="C41" s="980">
        <v>0</v>
      </c>
      <c r="D41" s="981">
        <f t="shared" si="1"/>
        <v>0</v>
      </c>
      <c r="E41" s="980">
        <v>0</v>
      </c>
      <c r="F41" s="982">
        <f t="shared" si="2"/>
        <v>0</v>
      </c>
      <c r="G41" s="29"/>
      <c r="H41" s="216">
        <f t="shared" si="5"/>
        <v>73</v>
      </c>
      <c r="I41" s="360"/>
      <c r="J41" s="980">
        <v>0</v>
      </c>
      <c r="K41" s="981">
        <f t="shared" si="3"/>
        <v>0</v>
      </c>
      <c r="L41" s="980">
        <v>0</v>
      </c>
      <c r="M41" s="982">
        <f t="shared" si="4"/>
        <v>0</v>
      </c>
    </row>
    <row r="42" spans="1:13" ht="16.5" thickTop="1" thickBot="1" x14ac:dyDescent="0.25">
      <c r="A42" s="219" t="s">
        <v>7</v>
      </c>
      <c r="B42" s="357"/>
      <c r="C42" s="983">
        <f>SUM(C5:C41)</f>
        <v>0</v>
      </c>
      <c r="D42" s="983">
        <f>SUM(D5:D41)</f>
        <v>0</v>
      </c>
      <c r="E42" s="983">
        <f>SUM(E5:E41)</f>
        <v>0</v>
      </c>
      <c r="F42" s="984">
        <f>SUM(F5:F41)</f>
        <v>0</v>
      </c>
      <c r="G42" s="32"/>
      <c r="H42" s="219" t="s">
        <v>7</v>
      </c>
      <c r="I42" s="520">
        <f>J42-M42</f>
        <v>0</v>
      </c>
      <c r="J42" s="983">
        <f>SUM(J5:J41)</f>
        <v>0</v>
      </c>
      <c r="K42" s="983">
        <f>SUM(K5:K41)</f>
        <v>0</v>
      </c>
      <c r="L42" s="983">
        <f>SUM(L5:L41)</f>
        <v>0</v>
      </c>
      <c r="M42" s="984">
        <f>SUM(M5:M41)</f>
        <v>0</v>
      </c>
    </row>
    <row r="43" spans="1:13" ht="15.75" thickTop="1" x14ac:dyDescent="0.2">
      <c r="I43" s="804"/>
    </row>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74803149606299213" right="0.74803149606299213" top="0.78740157480314965" bottom="0.78740157480314965" header="0.51181102362204722" footer="0.51181102362204722"/>
  <pageSetup paperSize="9" scale="65"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H82"/>
  <sheetViews>
    <sheetView zoomScale="75" zoomScaleNormal="75" zoomScaleSheetLayoutView="90" workbookViewId="0">
      <selection activeCell="A3" sqref="A3"/>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21875" customWidth="1"/>
    <col min="7" max="7" width="8.33203125" customWidth="1"/>
    <col min="8" max="8" width="12.109375" customWidth="1"/>
  </cols>
  <sheetData>
    <row r="1" spans="1:8" ht="18.75" thickTop="1" x14ac:dyDescent="0.2">
      <c r="A1" s="1108" t="s">
        <v>31</v>
      </c>
      <c r="B1" s="168"/>
      <c r="C1" s="168"/>
      <c r="D1" s="168"/>
      <c r="E1" s="168"/>
      <c r="F1" s="168"/>
      <c r="G1" s="168"/>
      <c r="H1" s="169"/>
    </row>
    <row r="2" spans="1:8" ht="15.75" x14ac:dyDescent="0.2">
      <c r="A2" s="258" t="s">
        <v>218</v>
      </c>
      <c r="B2" s="171"/>
      <c r="C2" s="171"/>
      <c r="D2" s="2"/>
      <c r="E2" s="2"/>
      <c r="F2" s="2"/>
      <c r="G2" s="171"/>
      <c r="H2" s="338" t="s">
        <v>231</v>
      </c>
    </row>
    <row r="3" spans="1:8" x14ac:dyDescent="0.2">
      <c r="A3" s="170"/>
      <c r="B3" s="1795" t="s">
        <v>359</v>
      </c>
      <c r="C3" s="1795"/>
      <c r="D3" s="1106">
        <f>'Input Data'!$D$28</f>
        <v>0</v>
      </c>
      <c r="E3" s="206" t="s">
        <v>298</v>
      </c>
      <c r="F3" s="1107">
        <f>'Input Data'!$D$5</f>
        <v>0</v>
      </c>
      <c r="G3" s="171"/>
      <c r="H3" s="172"/>
    </row>
    <row r="4" spans="1:8" x14ac:dyDescent="0.2">
      <c r="A4" s="173" t="s">
        <v>32</v>
      </c>
      <c r="B4" s="174" t="s">
        <v>4</v>
      </c>
      <c r="C4" s="171" t="s">
        <v>33</v>
      </c>
      <c r="D4" s="175" t="s">
        <v>32</v>
      </c>
      <c r="E4" s="174" t="s">
        <v>4</v>
      </c>
      <c r="F4" s="171" t="s">
        <v>33</v>
      </c>
      <c r="G4" s="171"/>
      <c r="H4" s="172"/>
    </row>
    <row r="5" spans="1:8" x14ac:dyDescent="0.2">
      <c r="A5" s="176" t="s">
        <v>34</v>
      </c>
      <c r="B5" s="177"/>
      <c r="C5" s="177"/>
      <c r="D5" s="178" t="s">
        <v>35</v>
      </c>
      <c r="E5" s="177"/>
      <c r="F5" s="1796"/>
      <c r="G5" s="1797"/>
      <c r="H5" s="1798"/>
    </row>
    <row r="6" spans="1:8" x14ac:dyDescent="0.2">
      <c r="A6" s="176" t="s">
        <v>36</v>
      </c>
      <c r="B6" s="177"/>
      <c r="C6" s="177"/>
      <c r="D6" s="178" t="s">
        <v>37</v>
      </c>
      <c r="E6" s="179"/>
      <c r="F6" s="1796"/>
      <c r="G6" s="1797"/>
      <c r="H6" s="1798"/>
    </row>
    <row r="7" spans="1:8" x14ac:dyDescent="0.2">
      <c r="A7" s="176" t="s">
        <v>38</v>
      </c>
      <c r="B7" s="179"/>
      <c r="C7" s="177"/>
      <c r="D7" s="178" t="s">
        <v>39</v>
      </c>
      <c r="E7" s="179"/>
      <c r="F7" s="1796"/>
      <c r="G7" s="1797"/>
      <c r="H7" s="1798"/>
    </row>
    <row r="8" spans="1:8" ht="15.75" thickBot="1" x14ac:dyDescent="0.25">
      <c r="A8" s="180"/>
      <c r="B8" s="181"/>
      <c r="C8" s="181"/>
      <c r="D8" s="181"/>
      <c r="E8" s="181"/>
      <c r="F8" s="181"/>
      <c r="G8" s="181"/>
      <c r="H8" s="182"/>
    </row>
    <row r="9" spans="1:8" ht="16.5" thickTop="1" thickBot="1" x14ac:dyDescent="0.25">
      <c r="A9" s="339"/>
      <c r="B9" s="339"/>
      <c r="C9" s="339"/>
      <c r="D9" s="339"/>
      <c r="E9" s="339"/>
      <c r="F9" s="339"/>
      <c r="G9" s="339"/>
      <c r="H9" s="339"/>
    </row>
    <row r="10" spans="1:8" ht="15.75" thickTop="1" x14ac:dyDescent="0.2">
      <c r="A10" s="336" t="s">
        <v>133</v>
      </c>
      <c r="B10" s="340"/>
      <c r="C10" s="340"/>
      <c r="D10" s="340"/>
      <c r="E10" s="340"/>
      <c r="F10" s="340"/>
      <c r="G10" s="340"/>
      <c r="H10" s="341"/>
    </row>
    <row r="11" spans="1:8" ht="30" x14ac:dyDescent="0.2">
      <c r="A11" s="855" t="s">
        <v>4</v>
      </c>
      <c r="B11" s="856" t="s">
        <v>40</v>
      </c>
      <c r="C11" s="857" t="s">
        <v>26</v>
      </c>
      <c r="D11" s="857" t="s">
        <v>41</v>
      </c>
      <c r="E11" s="858" t="s">
        <v>42</v>
      </c>
      <c r="F11" s="857" t="s">
        <v>10</v>
      </c>
      <c r="G11" s="859" t="s">
        <v>5</v>
      </c>
      <c r="H11" s="860" t="s">
        <v>43</v>
      </c>
    </row>
    <row r="12" spans="1:8" x14ac:dyDescent="0.2">
      <c r="A12" s="185"/>
      <c r="B12" s="186"/>
      <c r="C12" s="187"/>
      <c r="D12" s="187"/>
      <c r="E12" s="187"/>
      <c r="F12" s="843"/>
      <c r="G12" s="817"/>
      <c r="H12" s="818">
        <f t="shared" ref="H12:H21" si="0">F12*G12</f>
        <v>0</v>
      </c>
    </row>
    <row r="13" spans="1:8" x14ac:dyDescent="0.2">
      <c r="A13" s="188"/>
      <c r="B13" s="189"/>
      <c r="C13" s="190"/>
      <c r="D13" s="190"/>
      <c r="E13" s="190"/>
      <c r="F13" s="844"/>
      <c r="G13" s="819"/>
      <c r="H13" s="820">
        <f t="shared" si="0"/>
        <v>0</v>
      </c>
    </row>
    <row r="14" spans="1:8" x14ac:dyDescent="0.2">
      <c r="A14" s="191"/>
      <c r="B14" s="189"/>
      <c r="C14" s="190"/>
      <c r="D14" s="190"/>
      <c r="E14" s="190"/>
      <c r="F14" s="844"/>
      <c r="G14" s="819"/>
      <c r="H14" s="820">
        <f t="shared" si="0"/>
        <v>0</v>
      </c>
    </row>
    <row r="15" spans="1:8" x14ac:dyDescent="0.2">
      <c r="A15" s="191"/>
      <c r="B15" s="189"/>
      <c r="C15" s="190"/>
      <c r="D15" s="190"/>
      <c r="E15" s="190"/>
      <c r="F15" s="844"/>
      <c r="G15" s="819"/>
      <c r="H15" s="820">
        <f t="shared" si="0"/>
        <v>0</v>
      </c>
    </row>
    <row r="16" spans="1:8" x14ac:dyDescent="0.2">
      <c r="A16" s="191"/>
      <c r="B16" s="189"/>
      <c r="C16" s="190"/>
      <c r="D16" s="190"/>
      <c r="E16" s="190"/>
      <c r="F16" s="844"/>
      <c r="G16" s="819"/>
      <c r="H16" s="820">
        <f t="shared" si="0"/>
        <v>0</v>
      </c>
    </row>
    <row r="17" spans="1:8" x14ac:dyDescent="0.2">
      <c r="A17" s="191"/>
      <c r="B17" s="189"/>
      <c r="C17" s="190"/>
      <c r="D17" s="190"/>
      <c r="E17" s="190"/>
      <c r="F17" s="844"/>
      <c r="G17" s="819"/>
      <c r="H17" s="820">
        <f t="shared" si="0"/>
        <v>0</v>
      </c>
    </row>
    <row r="18" spans="1:8" x14ac:dyDescent="0.2">
      <c r="A18" s="191"/>
      <c r="B18" s="189"/>
      <c r="C18" s="190"/>
      <c r="D18" s="190"/>
      <c r="E18" s="190"/>
      <c r="F18" s="844"/>
      <c r="G18" s="819"/>
      <c r="H18" s="820">
        <f t="shared" si="0"/>
        <v>0</v>
      </c>
    </row>
    <row r="19" spans="1:8" x14ac:dyDescent="0.2">
      <c r="A19" s="191"/>
      <c r="B19" s="189"/>
      <c r="C19" s="190"/>
      <c r="D19" s="190"/>
      <c r="E19" s="190"/>
      <c r="F19" s="844"/>
      <c r="G19" s="819"/>
      <c r="H19" s="820">
        <f t="shared" si="0"/>
        <v>0</v>
      </c>
    </row>
    <row r="20" spans="1:8" x14ac:dyDescent="0.2">
      <c r="A20" s="191"/>
      <c r="B20" s="189"/>
      <c r="C20" s="190"/>
      <c r="D20" s="190"/>
      <c r="E20" s="190"/>
      <c r="F20" s="844"/>
      <c r="G20" s="821"/>
      <c r="H20" s="820">
        <f t="shared" si="0"/>
        <v>0</v>
      </c>
    </row>
    <row r="21" spans="1:8" ht="15.75" thickBot="1" x14ac:dyDescent="0.25">
      <c r="A21" s="192"/>
      <c r="B21" s="193"/>
      <c r="C21" s="194"/>
      <c r="D21" s="194"/>
      <c r="E21" s="194"/>
      <c r="F21" s="845"/>
      <c r="G21" s="822"/>
      <c r="H21" s="823">
        <f t="shared" si="0"/>
        <v>0</v>
      </c>
    </row>
    <row r="22" spans="1:8" x14ac:dyDescent="0.2">
      <c r="A22" s="195"/>
      <c r="B22" s="196"/>
      <c r="C22" s="196"/>
      <c r="D22" s="196"/>
      <c r="E22" s="196"/>
      <c r="F22" s="846"/>
      <c r="G22" s="824" t="s">
        <v>232</v>
      </c>
      <c r="H22" s="825">
        <f>SUM(H12:H21)</f>
        <v>0</v>
      </c>
    </row>
    <row r="23" spans="1:8" ht="15.75" thickBot="1" x14ac:dyDescent="0.25">
      <c r="A23" s="180"/>
      <c r="B23" s="181"/>
      <c r="C23" s="181"/>
      <c r="D23" s="181"/>
      <c r="E23" s="181"/>
      <c r="F23" s="847"/>
      <c r="G23" s="826" t="s">
        <v>360</v>
      </c>
      <c r="H23" s="827"/>
    </row>
    <row r="24" spans="1:8" ht="16.5" thickTop="1" thickBot="1" x14ac:dyDescent="0.25">
      <c r="A24" s="339"/>
      <c r="B24" s="339"/>
      <c r="C24" s="339"/>
      <c r="D24" s="339"/>
      <c r="E24" s="339"/>
      <c r="F24" s="848"/>
      <c r="G24" s="828"/>
      <c r="H24" s="829"/>
    </row>
    <row r="25" spans="1:8" ht="15.75" thickTop="1" x14ac:dyDescent="0.2">
      <c r="A25" s="336" t="s">
        <v>126</v>
      </c>
      <c r="B25" s="340"/>
      <c r="C25" s="340"/>
      <c r="D25" s="340"/>
      <c r="E25" s="340"/>
      <c r="F25" s="849"/>
      <c r="G25" s="830"/>
      <c r="H25" s="831"/>
    </row>
    <row r="26" spans="1:8" ht="30" x14ac:dyDescent="0.2">
      <c r="A26" s="855" t="s">
        <v>4</v>
      </c>
      <c r="B26" s="856" t="s">
        <v>40</v>
      </c>
      <c r="C26" s="857" t="s">
        <v>26</v>
      </c>
      <c r="D26" s="857" t="s">
        <v>41</v>
      </c>
      <c r="E26" s="858" t="s">
        <v>42</v>
      </c>
      <c r="F26" s="857" t="s">
        <v>10</v>
      </c>
      <c r="G26" s="859" t="s">
        <v>5</v>
      </c>
      <c r="H26" s="860" t="s">
        <v>43</v>
      </c>
    </row>
    <row r="27" spans="1:8" x14ac:dyDescent="0.2">
      <c r="A27" s="342"/>
      <c r="B27" s="285"/>
      <c r="C27" s="286"/>
      <c r="D27" s="286"/>
      <c r="E27" s="286"/>
      <c r="F27" s="850"/>
      <c r="G27" s="832"/>
      <c r="H27" s="818">
        <f t="shared" ref="H27:H37" si="1">F27*G27</f>
        <v>0</v>
      </c>
    </row>
    <row r="28" spans="1:8" x14ac:dyDescent="0.2">
      <c r="A28" s="188"/>
      <c r="B28" s="189"/>
      <c r="C28" s="190"/>
      <c r="D28" s="190"/>
      <c r="E28" s="190"/>
      <c r="F28" s="844"/>
      <c r="G28" s="819"/>
      <c r="H28" s="820">
        <f t="shared" si="1"/>
        <v>0</v>
      </c>
    </row>
    <row r="29" spans="1:8" x14ac:dyDescent="0.2">
      <c r="A29" s="191"/>
      <c r="B29" s="189"/>
      <c r="C29" s="190"/>
      <c r="D29" s="190"/>
      <c r="E29" s="190"/>
      <c r="F29" s="844"/>
      <c r="G29" s="819"/>
      <c r="H29" s="820">
        <f t="shared" si="1"/>
        <v>0</v>
      </c>
    </row>
    <row r="30" spans="1:8" x14ac:dyDescent="0.2">
      <c r="A30" s="191"/>
      <c r="B30" s="189"/>
      <c r="C30" s="190"/>
      <c r="D30" s="190"/>
      <c r="E30" s="190"/>
      <c r="F30" s="844"/>
      <c r="G30" s="819"/>
      <c r="H30" s="820">
        <f t="shared" si="1"/>
        <v>0</v>
      </c>
    </row>
    <row r="31" spans="1:8" x14ac:dyDescent="0.2">
      <c r="A31" s="191"/>
      <c r="B31" s="189"/>
      <c r="C31" s="190"/>
      <c r="D31" s="190"/>
      <c r="E31" s="190"/>
      <c r="F31" s="844"/>
      <c r="G31" s="819"/>
      <c r="H31" s="820">
        <f t="shared" si="1"/>
        <v>0</v>
      </c>
    </row>
    <row r="32" spans="1:8" x14ac:dyDescent="0.2">
      <c r="A32" s="191"/>
      <c r="B32" s="189"/>
      <c r="C32" s="190"/>
      <c r="D32" s="190"/>
      <c r="E32" s="190"/>
      <c r="F32" s="844"/>
      <c r="G32" s="819"/>
      <c r="H32" s="820">
        <f t="shared" si="1"/>
        <v>0</v>
      </c>
    </row>
    <row r="33" spans="1:8" x14ac:dyDescent="0.2">
      <c r="A33" s="191"/>
      <c r="B33" s="189"/>
      <c r="C33" s="190"/>
      <c r="D33" s="190"/>
      <c r="E33" s="190"/>
      <c r="F33" s="844"/>
      <c r="G33" s="819"/>
      <c r="H33" s="820">
        <f t="shared" si="1"/>
        <v>0</v>
      </c>
    </row>
    <row r="34" spans="1:8" x14ac:dyDescent="0.2">
      <c r="A34" s="191"/>
      <c r="B34" s="189"/>
      <c r="C34" s="190"/>
      <c r="D34" s="190"/>
      <c r="E34" s="190"/>
      <c r="F34" s="844"/>
      <c r="G34" s="819"/>
      <c r="H34" s="820">
        <f t="shared" si="1"/>
        <v>0</v>
      </c>
    </row>
    <row r="35" spans="1:8" x14ac:dyDescent="0.2">
      <c r="A35" s="191"/>
      <c r="B35" s="189"/>
      <c r="C35" s="190"/>
      <c r="D35" s="190"/>
      <c r="E35" s="190"/>
      <c r="F35" s="844"/>
      <c r="G35" s="819"/>
      <c r="H35" s="820">
        <f t="shared" si="1"/>
        <v>0</v>
      </c>
    </row>
    <row r="36" spans="1:8" x14ac:dyDescent="0.2">
      <c r="A36" s="191"/>
      <c r="B36" s="189"/>
      <c r="C36" s="190"/>
      <c r="D36" s="190"/>
      <c r="E36" s="190"/>
      <c r="F36" s="844"/>
      <c r="G36" s="819"/>
      <c r="H36" s="820">
        <f t="shared" si="1"/>
        <v>0</v>
      </c>
    </row>
    <row r="37" spans="1:8" ht="15.75" thickBot="1" x14ac:dyDescent="0.25">
      <c r="A37" s="192"/>
      <c r="B37" s="193"/>
      <c r="C37" s="194"/>
      <c r="D37" s="194"/>
      <c r="E37" s="194"/>
      <c r="F37" s="845"/>
      <c r="G37" s="833"/>
      <c r="H37" s="823">
        <f t="shared" si="1"/>
        <v>0</v>
      </c>
    </row>
    <row r="38" spans="1:8" x14ac:dyDescent="0.2">
      <c r="A38" s="195"/>
      <c r="B38" s="196"/>
      <c r="C38" s="196"/>
      <c r="D38" s="196"/>
      <c r="E38" s="196"/>
      <c r="F38" s="846"/>
      <c r="G38" s="824" t="s">
        <v>233</v>
      </c>
      <c r="H38" s="825">
        <f>SUM(H27:H37)</f>
        <v>0</v>
      </c>
    </row>
    <row r="39" spans="1:8" ht="15.75" thickBot="1" x14ac:dyDescent="0.25">
      <c r="A39" s="343"/>
      <c r="B39" s="201"/>
      <c r="C39" s="201"/>
      <c r="D39" s="201"/>
      <c r="E39" s="201"/>
      <c r="F39" s="851"/>
      <c r="G39" s="826" t="s">
        <v>360</v>
      </c>
      <c r="H39" s="827"/>
    </row>
    <row r="40" spans="1:8" ht="16.5" thickTop="1" thickBot="1" x14ac:dyDescent="0.25">
      <c r="A40" s="344"/>
      <c r="B40" s="344"/>
      <c r="C40" s="344"/>
      <c r="D40" s="344"/>
      <c r="E40" s="344"/>
      <c r="F40" s="852"/>
      <c r="G40" s="834"/>
      <c r="H40" s="835"/>
    </row>
    <row r="41" spans="1:8" ht="15.75" thickTop="1" x14ac:dyDescent="0.2">
      <c r="A41" s="336" t="s">
        <v>134</v>
      </c>
      <c r="B41" s="340"/>
      <c r="C41" s="340"/>
      <c r="D41" s="340"/>
      <c r="E41" s="340"/>
      <c r="F41" s="849"/>
      <c r="G41" s="830"/>
      <c r="H41" s="831"/>
    </row>
    <row r="42" spans="1:8" ht="30" x14ac:dyDescent="0.2">
      <c r="A42" s="855" t="s">
        <v>4</v>
      </c>
      <c r="B42" s="856" t="s">
        <v>40</v>
      </c>
      <c r="C42" s="857" t="s">
        <v>26</v>
      </c>
      <c r="D42" s="857" t="s">
        <v>41</v>
      </c>
      <c r="E42" s="858" t="s">
        <v>42</v>
      </c>
      <c r="F42" s="857" t="s">
        <v>10</v>
      </c>
      <c r="G42" s="859" t="s">
        <v>5</v>
      </c>
      <c r="H42" s="860" t="s">
        <v>43</v>
      </c>
    </row>
    <row r="43" spans="1:8" x14ac:dyDescent="0.2">
      <c r="A43" s="185"/>
      <c r="B43" s="186"/>
      <c r="C43" s="187"/>
      <c r="D43" s="187"/>
      <c r="E43" s="187"/>
      <c r="F43" s="843"/>
      <c r="G43" s="817"/>
      <c r="H43" s="818">
        <f t="shared" ref="H43:H56" si="2">F43*G43</f>
        <v>0</v>
      </c>
    </row>
    <row r="44" spans="1:8" x14ac:dyDescent="0.2">
      <c r="A44" s="188"/>
      <c r="B44" s="189"/>
      <c r="C44" s="190"/>
      <c r="D44" s="190"/>
      <c r="E44" s="190"/>
      <c r="F44" s="844"/>
      <c r="G44" s="819"/>
      <c r="H44" s="820">
        <f t="shared" si="2"/>
        <v>0</v>
      </c>
    </row>
    <row r="45" spans="1:8" x14ac:dyDescent="0.2">
      <c r="A45" s="191"/>
      <c r="B45" s="189"/>
      <c r="C45" s="190"/>
      <c r="D45" s="190"/>
      <c r="E45" s="190"/>
      <c r="F45" s="844"/>
      <c r="G45" s="819"/>
      <c r="H45" s="820">
        <f t="shared" si="2"/>
        <v>0</v>
      </c>
    </row>
    <row r="46" spans="1:8" x14ac:dyDescent="0.2">
      <c r="A46" s="191"/>
      <c r="B46" s="189"/>
      <c r="C46" s="190"/>
      <c r="D46" s="190"/>
      <c r="E46" s="190"/>
      <c r="F46" s="844"/>
      <c r="G46" s="819"/>
      <c r="H46" s="820">
        <f t="shared" si="2"/>
        <v>0</v>
      </c>
    </row>
    <row r="47" spans="1:8" x14ac:dyDescent="0.2">
      <c r="A47" s="191"/>
      <c r="B47" s="189"/>
      <c r="C47" s="190"/>
      <c r="D47" s="190"/>
      <c r="E47" s="190"/>
      <c r="F47" s="844"/>
      <c r="G47" s="819"/>
      <c r="H47" s="820">
        <f t="shared" si="2"/>
        <v>0</v>
      </c>
    </row>
    <row r="48" spans="1:8" x14ac:dyDescent="0.2">
      <c r="A48" s="191"/>
      <c r="B48" s="189"/>
      <c r="C48" s="190"/>
      <c r="D48" s="190"/>
      <c r="E48" s="190"/>
      <c r="F48" s="844"/>
      <c r="G48" s="819"/>
      <c r="H48" s="820">
        <f t="shared" si="2"/>
        <v>0</v>
      </c>
    </row>
    <row r="49" spans="1:8" x14ac:dyDescent="0.2">
      <c r="A49" s="191"/>
      <c r="B49" s="189"/>
      <c r="C49" s="190"/>
      <c r="D49" s="190"/>
      <c r="E49" s="190"/>
      <c r="F49" s="844"/>
      <c r="G49" s="819"/>
      <c r="H49" s="820">
        <f t="shared" si="2"/>
        <v>0</v>
      </c>
    </row>
    <row r="50" spans="1:8" x14ac:dyDescent="0.2">
      <c r="A50" s="191"/>
      <c r="B50" s="189"/>
      <c r="C50" s="190"/>
      <c r="D50" s="190"/>
      <c r="E50" s="190"/>
      <c r="F50" s="844"/>
      <c r="G50" s="819"/>
      <c r="H50" s="820">
        <f t="shared" si="2"/>
        <v>0</v>
      </c>
    </row>
    <row r="51" spans="1:8" x14ac:dyDescent="0.2">
      <c r="A51" s="191"/>
      <c r="B51" s="189"/>
      <c r="C51" s="190"/>
      <c r="D51" s="190"/>
      <c r="E51" s="190"/>
      <c r="F51" s="844"/>
      <c r="G51" s="819"/>
      <c r="H51" s="820">
        <f t="shared" si="2"/>
        <v>0</v>
      </c>
    </row>
    <row r="52" spans="1:8" x14ac:dyDescent="0.2">
      <c r="A52" s="191"/>
      <c r="B52" s="189"/>
      <c r="C52" s="190"/>
      <c r="D52" s="190"/>
      <c r="E52" s="190"/>
      <c r="F52" s="844"/>
      <c r="G52" s="819"/>
      <c r="H52" s="820">
        <f t="shared" si="2"/>
        <v>0</v>
      </c>
    </row>
    <row r="53" spans="1:8" x14ac:dyDescent="0.2">
      <c r="A53" s="191"/>
      <c r="B53" s="189"/>
      <c r="C53" s="190"/>
      <c r="D53" s="190"/>
      <c r="E53" s="190"/>
      <c r="F53" s="844"/>
      <c r="G53" s="819"/>
      <c r="H53" s="820">
        <f t="shared" si="2"/>
        <v>0</v>
      </c>
    </row>
    <row r="54" spans="1:8" x14ac:dyDescent="0.2">
      <c r="A54" s="191"/>
      <c r="B54" s="189"/>
      <c r="C54" s="190"/>
      <c r="D54" s="190"/>
      <c r="E54" s="190"/>
      <c r="F54" s="844"/>
      <c r="G54" s="819"/>
      <c r="H54" s="820">
        <f t="shared" si="2"/>
        <v>0</v>
      </c>
    </row>
    <row r="55" spans="1:8" x14ac:dyDescent="0.2">
      <c r="A55" s="191"/>
      <c r="B55" s="189"/>
      <c r="C55" s="190"/>
      <c r="D55" s="190"/>
      <c r="E55" s="190"/>
      <c r="F55" s="844"/>
      <c r="G55" s="819"/>
      <c r="H55" s="820">
        <f t="shared" si="2"/>
        <v>0</v>
      </c>
    </row>
    <row r="56" spans="1:8" ht="15.75" thickBot="1" x14ac:dyDescent="0.25">
      <c r="A56" s="192"/>
      <c r="B56" s="193"/>
      <c r="C56" s="194"/>
      <c r="D56" s="194"/>
      <c r="E56" s="194"/>
      <c r="F56" s="845"/>
      <c r="G56" s="833"/>
      <c r="H56" s="823">
        <f t="shared" si="2"/>
        <v>0</v>
      </c>
    </row>
    <row r="57" spans="1:8" x14ac:dyDescent="0.2">
      <c r="A57" s="195"/>
      <c r="B57" s="196"/>
      <c r="C57" s="196"/>
      <c r="D57" s="196"/>
      <c r="E57" s="196"/>
      <c r="F57" s="846"/>
      <c r="G57" s="824" t="s">
        <v>234</v>
      </c>
      <c r="H57" s="825">
        <f>SUM(H43:H56)</f>
        <v>0</v>
      </c>
    </row>
    <row r="58" spans="1:8" x14ac:dyDescent="0.2">
      <c r="A58" s="197"/>
      <c r="B58" s="198"/>
      <c r="C58" s="198"/>
      <c r="D58" s="198"/>
      <c r="E58" s="198"/>
      <c r="F58" s="853"/>
      <c r="G58" s="826" t="s">
        <v>360</v>
      </c>
      <c r="H58" s="836"/>
    </row>
    <row r="59" spans="1:8" x14ac:dyDescent="0.2">
      <c r="A59" s="183" t="s">
        <v>135</v>
      </c>
      <c r="B59" s="184"/>
      <c r="C59" s="184"/>
      <c r="D59" s="184"/>
      <c r="E59" s="184"/>
      <c r="F59" s="854"/>
      <c r="G59" s="837"/>
      <c r="H59" s="838"/>
    </row>
    <row r="60" spans="1:8" ht="30" x14ac:dyDescent="0.2">
      <c r="A60" s="855" t="s">
        <v>4</v>
      </c>
      <c r="B60" s="856" t="s">
        <v>40</v>
      </c>
      <c r="C60" s="857" t="s">
        <v>26</v>
      </c>
      <c r="D60" s="857" t="s">
        <v>41</v>
      </c>
      <c r="E60" s="858" t="s">
        <v>42</v>
      </c>
      <c r="F60" s="857" t="s">
        <v>10</v>
      </c>
      <c r="G60" s="859" t="s">
        <v>5</v>
      </c>
      <c r="H60" s="860" t="s">
        <v>43</v>
      </c>
    </row>
    <row r="61" spans="1:8" x14ac:dyDescent="0.2">
      <c r="A61" s="185"/>
      <c r="B61" s="186"/>
      <c r="C61" s="187"/>
      <c r="D61" s="187"/>
      <c r="E61" s="187"/>
      <c r="F61" s="843"/>
      <c r="G61" s="817"/>
      <c r="H61" s="818">
        <f t="shared" ref="H61:H74" si="3">F61*G61</f>
        <v>0</v>
      </c>
    </row>
    <row r="62" spans="1:8" x14ac:dyDescent="0.2">
      <c r="A62" s="188"/>
      <c r="B62" s="189"/>
      <c r="C62" s="190"/>
      <c r="D62" s="190"/>
      <c r="E62" s="190"/>
      <c r="F62" s="844"/>
      <c r="G62" s="819"/>
      <c r="H62" s="820">
        <f t="shared" si="3"/>
        <v>0</v>
      </c>
    </row>
    <row r="63" spans="1:8" x14ac:dyDescent="0.2">
      <c r="A63" s="191"/>
      <c r="B63" s="189"/>
      <c r="C63" s="190"/>
      <c r="D63" s="190"/>
      <c r="E63" s="190"/>
      <c r="F63" s="844"/>
      <c r="G63" s="819"/>
      <c r="H63" s="820">
        <f t="shared" si="3"/>
        <v>0</v>
      </c>
    </row>
    <row r="64" spans="1:8" x14ac:dyDescent="0.2">
      <c r="A64" s="191"/>
      <c r="B64" s="189"/>
      <c r="C64" s="190"/>
      <c r="D64" s="190"/>
      <c r="E64" s="190"/>
      <c r="F64" s="844"/>
      <c r="G64" s="819"/>
      <c r="H64" s="820">
        <f t="shared" si="3"/>
        <v>0</v>
      </c>
    </row>
    <row r="65" spans="1:8" x14ac:dyDescent="0.2">
      <c r="A65" s="191"/>
      <c r="B65" s="189"/>
      <c r="C65" s="190"/>
      <c r="D65" s="190"/>
      <c r="E65" s="190"/>
      <c r="F65" s="844"/>
      <c r="G65" s="819"/>
      <c r="H65" s="820">
        <f t="shared" si="3"/>
        <v>0</v>
      </c>
    </row>
    <row r="66" spans="1:8" x14ac:dyDescent="0.2">
      <c r="A66" s="191"/>
      <c r="B66" s="189"/>
      <c r="C66" s="190"/>
      <c r="D66" s="190"/>
      <c r="E66" s="190"/>
      <c r="F66" s="844"/>
      <c r="G66" s="819"/>
      <c r="H66" s="820">
        <f t="shared" si="3"/>
        <v>0</v>
      </c>
    </row>
    <row r="67" spans="1:8" x14ac:dyDescent="0.2">
      <c r="A67" s="191"/>
      <c r="B67" s="189"/>
      <c r="C67" s="190"/>
      <c r="D67" s="190"/>
      <c r="E67" s="190"/>
      <c r="F67" s="844"/>
      <c r="G67" s="819"/>
      <c r="H67" s="820">
        <f t="shared" si="3"/>
        <v>0</v>
      </c>
    </row>
    <row r="68" spans="1:8" x14ac:dyDescent="0.2">
      <c r="A68" s="191"/>
      <c r="B68" s="189"/>
      <c r="C68" s="190"/>
      <c r="D68" s="190"/>
      <c r="E68" s="190"/>
      <c r="F68" s="844"/>
      <c r="G68" s="819"/>
      <c r="H68" s="820">
        <f t="shared" si="3"/>
        <v>0</v>
      </c>
    </row>
    <row r="69" spans="1:8" x14ac:dyDescent="0.2">
      <c r="A69" s="191"/>
      <c r="B69" s="189"/>
      <c r="C69" s="190"/>
      <c r="D69" s="190"/>
      <c r="E69" s="190"/>
      <c r="F69" s="844"/>
      <c r="G69" s="819"/>
      <c r="H69" s="820">
        <f t="shared" si="3"/>
        <v>0</v>
      </c>
    </row>
    <row r="70" spans="1:8" x14ac:dyDescent="0.2">
      <c r="A70" s="191"/>
      <c r="B70" s="189"/>
      <c r="C70" s="190"/>
      <c r="D70" s="190"/>
      <c r="E70" s="190"/>
      <c r="F70" s="844"/>
      <c r="G70" s="819"/>
      <c r="H70" s="820">
        <f t="shared" si="3"/>
        <v>0</v>
      </c>
    </row>
    <row r="71" spans="1:8" x14ac:dyDescent="0.2">
      <c r="A71" s="191"/>
      <c r="B71" s="189"/>
      <c r="C71" s="190"/>
      <c r="D71" s="190"/>
      <c r="E71" s="190"/>
      <c r="F71" s="844"/>
      <c r="G71" s="819"/>
      <c r="H71" s="820">
        <f t="shared" si="3"/>
        <v>0</v>
      </c>
    </row>
    <row r="72" spans="1:8" x14ac:dyDescent="0.2">
      <c r="A72" s="191"/>
      <c r="B72" s="189"/>
      <c r="C72" s="190"/>
      <c r="D72" s="190"/>
      <c r="E72" s="190"/>
      <c r="F72" s="844"/>
      <c r="G72" s="819"/>
      <c r="H72" s="820">
        <f t="shared" si="3"/>
        <v>0</v>
      </c>
    </row>
    <row r="73" spans="1:8" x14ac:dyDescent="0.2">
      <c r="A73" s="191"/>
      <c r="B73" s="189"/>
      <c r="C73" s="190"/>
      <c r="D73" s="190"/>
      <c r="E73" s="190"/>
      <c r="F73" s="844"/>
      <c r="G73" s="819"/>
      <c r="H73" s="820">
        <f t="shared" si="3"/>
        <v>0</v>
      </c>
    </row>
    <row r="74" spans="1:8" ht="15.75" thickBot="1" x14ac:dyDescent="0.25">
      <c r="A74" s="192"/>
      <c r="B74" s="193"/>
      <c r="C74" s="194"/>
      <c r="D74" s="194"/>
      <c r="E74" s="194"/>
      <c r="F74" s="845"/>
      <c r="G74" s="833"/>
      <c r="H74" s="823">
        <f t="shared" si="3"/>
        <v>0</v>
      </c>
    </row>
    <row r="75" spans="1:8" x14ac:dyDescent="0.2">
      <c r="A75" s="195"/>
      <c r="B75" s="196"/>
      <c r="C75" s="196"/>
      <c r="D75" s="196"/>
      <c r="E75" s="196"/>
      <c r="F75" s="196"/>
      <c r="G75" s="824" t="s">
        <v>235</v>
      </c>
      <c r="H75" s="825">
        <f>SUM(H61:H74)</f>
        <v>0</v>
      </c>
    </row>
    <row r="76" spans="1:8" ht="15.75" thickBot="1" x14ac:dyDescent="0.25">
      <c r="A76" s="176"/>
      <c r="B76" s="178"/>
      <c r="C76" s="178"/>
      <c r="D76" s="178"/>
      <c r="E76" s="178"/>
      <c r="F76" s="178"/>
      <c r="G76" s="826" t="s">
        <v>360</v>
      </c>
      <c r="H76" s="836"/>
    </row>
    <row r="77" spans="1:8" x14ac:dyDescent="0.2">
      <c r="A77" s="521"/>
      <c r="B77" s="522"/>
      <c r="C77" s="522"/>
      <c r="D77" s="522"/>
      <c r="E77" s="522"/>
      <c r="F77" s="523"/>
      <c r="G77" s="839" t="s">
        <v>217</v>
      </c>
      <c r="H77" s="840">
        <f>H75+H57</f>
        <v>0</v>
      </c>
    </row>
    <row r="78" spans="1:8" ht="15.75" thickBot="1" x14ac:dyDescent="0.25">
      <c r="A78" s="524"/>
      <c r="B78" s="525"/>
      <c r="C78" s="525"/>
      <c r="D78" s="525"/>
      <c r="E78" s="525"/>
      <c r="F78" s="525"/>
      <c r="G78" s="841" t="s">
        <v>360</v>
      </c>
      <c r="H78" s="842">
        <f>H23+H39+H58+H76</f>
        <v>0</v>
      </c>
    </row>
    <row r="79" spans="1:8" ht="15.75" thickTop="1" x14ac:dyDescent="0.2">
      <c r="H79" s="529"/>
    </row>
    <row r="80" spans="1:8" x14ac:dyDescent="0.2">
      <c r="H80" s="221"/>
    </row>
    <row r="81" spans="8:8" x14ac:dyDescent="0.2">
      <c r="H81" s="221"/>
    </row>
    <row r="82" spans="8:8" x14ac:dyDescent="0.2">
      <c r="H82" s="221"/>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0" type="noConversion"/>
  <printOptions horizontalCentered="1"/>
  <pageMargins left="0.74803149606299213" right="0.74803149606299213" top="0.78740157480314965" bottom="0.78740157480314965" header="0.51181102362204722" footer="0.51181102362204722"/>
  <pageSetup paperSize="9" scale="60" orientation="portrait" horizontalDpi="4294967293" verticalDpi="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I90"/>
  <sheetViews>
    <sheetView topLeftCell="A7" zoomScale="90" zoomScaleNormal="90" zoomScaleSheetLayoutView="75" workbookViewId="0">
      <selection activeCell="J15" sqref="J15"/>
    </sheetView>
  </sheetViews>
  <sheetFormatPr defaultRowHeight="15" x14ac:dyDescent="0.2"/>
  <cols>
    <col min="1" max="1" width="10" bestFit="1" customWidth="1"/>
    <col min="2" max="2" width="13.109375" customWidth="1"/>
    <col min="3" max="3" width="12.33203125" customWidth="1"/>
    <col min="4" max="4" width="17.5546875" customWidth="1"/>
    <col min="5" max="5" width="19.5546875" customWidth="1"/>
    <col min="6" max="7" width="8.33203125" customWidth="1"/>
    <col min="8" max="8" width="9.6640625" customWidth="1"/>
    <col min="9" max="9" width="10.77734375" customWidth="1"/>
    <col min="10" max="10" width="17.21875" bestFit="1" customWidth="1"/>
  </cols>
  <sheetData>
    <row r="1" spans="1:9" ht="18.75" thickTop="1" x14ac:dyDescent="0.2">
      <c r="A1" s="1108" t="s">
        <v>44</v>
      </c>
      <c r="B1" s="222"/>
      <c r="C1" s="222"/>
      <c r="D1" s="222"/>
      <c r="E1" s="222"/>
      <c r="F1" s="222"/>
      <c r="G1" s="222"/>
      <c r="H1" s="222"/>
      <c r="I1" s="223"/>
    </row>
    <row r="2" spans="1:9" ht="15.75" x14ac:dyDescent="0.2">
      <c r="A2" s="258" t="s">
        <v>218</v>
      </c>
      <c r="B2" s="124"/>
      <c r="C2" s="124"/>
      <c r="D2" s="124"/>
      <c r="E2" s="2"/>
      <c r="F2" s="279" t="s">
        <v>224</v>
      </c>
      <c r="G2" s="124"/>
      <c r="H2" s="124"/>
      <c r="I2" s="130"/>
    </row>
    <row r="3" spans="1:9" ht="15.75" thickBot="1" x14ac:dyDescent="0.25">
      <c r="A3" s="1799" t="s">
        <v>358</v>
      </c>
      <c r="B3" s="1800"/>
      <c r="C3" s="1106">
        <f>'Input Data'!$D$28</f>
        <v>0</v>
      </c>
      <c r="D3" s="259"/>
      <c r="E3" s="206" t="s">
        <v>298</v>
      </c>
      <c r="F3" s="1107">
        <f>'Input Data'!$D$5</f>
        <v>0</v>
      </c>
      <c r="G3" s="323"/>
      <c r="H3" s="139"/>
      <c r="I3" s="200"/>
    </row>
    <row r="4" spans="1:9" ht="16.5" thickTop="1" thickBot="1" x14ac:dyDescent="0.25">
      <c r="A4" s="326"/>
      <c r="B4" s="326"/>
      <c r="C4" s="327"/>
      <c r="D4" s="327"/>
      <c r="E4" s="327"/>
      <c r="F4" s="327"/>
      <c r="G4" s="328"/>
      <c r="H4" s="328"/>
      <c r="I4" s="328"/>
    </row>
    <row r="5" spans="1:9" ht="15.75" thickTop="1" x14ac:dyDescent="0.2">
      <c r="A5" s="167" t="s">
        <v>137</v>
      </c>
      <c r="B5" s="126"/>
      <c r="C5" s="126"/>
      <c r="D5" s="126"/>
      <c r="E5" s="126"/>
      <c r="F5" s="126"/>
      <c r="G5" s="126"/>
      <c r="H5" s="126"/>
      <c r="I5" s="127"/>
    </row>
    <row r="6" spans="1:9" ht="30" x14ac:dyDescent="0.2">
      <c r="A6" s="226" t="s">
        <v>45</v>
      </c>
      <c r="B6" s="227" t="s">
        <v>40</v>
      </c>
      <c r="C6" s="227" t="s">
        <v>26</v>
      </c>
      <c r="D6" s="227" t="s">
        <v>46</v>
      </c>
      <c r="E6" s="227" t="s">
        <v>47</v>
      </c>
      <c r="F6" s="227" t="s">
        <v>48</v>
      </c>
      <c r="G6" s="227" t="s">
        <v>227</v>
      </c>
      <c r="H6" s="227" t="s">
        <v>5</v>
      </c>
      <c r="I6" s="530" t="s">
        <v>43</v>
      </c>
    </row>
    <row r="7" spans="1:9" x14ac:dyDescent="0.2">
      <c r="A7" s="325"/>
      <c r="B7" s="282"/>
      <c r="C7" s="282"/>
      <c r="D7" s="282"/>
      <c r="E7" s="282"/>
      <c r="F7" s="362"/>
      <c r="G7" s="1460"/>
      <c r="H7" s="861"/>
      <c r="I7" s="818">
        <f t="shared" ref="I7:I16" si="0">G7*H7</f>
        <v>0</v>
      </c>
    </row>
    <row r="8" spans="1:9" x14ac:dyDescent="0.2">
      <c r="A8" s="256"/>
      <c r="B8" s="251"/>
      <c r="C8" s="251"/>
      <c r="D8" s="251"/>
      <c r="E8" s="251"/>
      <c r="F8" s="363"/>
      <c r="G8" s="361">
        <f>IF('Input Data'!$H$48&lt;'Input Data'!$H$36,F8,F8-2)</f>
        <v>0</v>
      </c>
      <c r="H8" s="862"/>
      <c r="I8" s="820">
        <f t="shared" si="0"/>
        <v>0</v>
      </c>
    </row>
    <row r="9" spans="1:9" x14ac:dyDescent="0.2">
      <c r="A9" s="256"/>
      <c r="B9" s="251"/>
      <c r="C9" s="251"/>
      <c r="D9" s="251"/>
      <c r="E9" s="251"/>
      <c r="F9" s="363"/>
      <c r="G9" s="361">
        <f>IF('Input Data'!$H$48&lt;'Input Data'!$H$36,F9,F9-2)</f>
        <v>0</v>
      </c>
      <c r="H9" s="862"/>
      <c r="I9" s="820">
        <f t="shared" si="0"/>
        <v>0</v>
      </c>
    </row>
    <row r="10" spans="1:9" x14ac:dyDescent="0.2">
      <c r="A10" s="256"/>
      <c r="B10" s="251"/>
      <c r="C10" s="251"/>
      <c r="D10" s="251"/>
      <c r="E10" s="251"/>
      <c r="F10" s="363"/>
      <c r="G10" s="361">
        <f>IF('Input Data'!$H$48&lt;'Input Data'!$H$36,F10,F10-2)</f>
        <v>0</v>
      </c>
      <c r="H10" s="862"/>
      <c r="I10" s="820">
        <f t="shared" si="0"/>
        <v>0</v>
      </c>
    </row>
    <row r="11" spans="1:9" x14ac:dyDescent="0.2">
      <c r="A11" s="256"/>
      <c r="B11" s="251"/>
      <c r="C11" s="251"/>
      <c r="D11" s="251"/>
      <c r="E11" s="251"/>
      <c r="F11" s="363"/>
      <c r="G11" s="361">
        <f>IF('Input Data'!$H$48&lt;'Input Data'!$H$36,F11,F11-2)</f>
        <v>0</v>
      </c>
      <c r="H11" s="862"/>
      <c r="I11" s="820">
        <f t="shared" si="0"/>
        <v>0</v>
      </c>
    </row>
    <row r="12" spans="1:9" x14ac:dyDescent="0.2">
      <c r="A12" s="256"/>
      <c r="B12" s="251"/>
      <c r="C12" s="251"/>
      <c r="D12" s="251"/>
      <c r="E12" s="251"/>
      <c r="F12" s="363"/>
      <c r="G12" s="361">
        <f>IF('Input Data'!$H$48&lt;'Input Data'!$H$36,F12,F12-2)</f>
        <v>0</v>
      </c>
      <c r="H12" s="862"/>
      <c r="I12" s="820">
        <f t="shared" si="0"/>
        <v>0</v>
      </c>
    </row>
    <row r="13" spans="1:9" x14ac:dyDescent="0.2">
      <c r="A13" s="256"/>
      <c r="B13" s="251"/>
      <c r="C13" s="251"/>
      <c r="D13" s="251"/>
      <c r="E13" s="251"/>
      <c r="F13" s="363"/>
      <c r="G13" s="361">
        <f>IF('Input Data'!$H$48&lt;'Input Data'!$H$36,F13,F13-2)</f>
        <v>0</v>
      </c>
      <c r="H13" s="862"/>
      <c r="I13" s="820">
        <f t="shared" si="0"/>
        <v>0</v>
      </c>
    </row>
    <row r="14" spans="1:9" x14ac:dyDescent="0.2">
      <c r="A14" s="256"/>
      <c r="B14" s="251"/>
      <c r="C14" s="251"/>
      <c r="D14" s="251"/>
      <c r="E14" s="251"/>
      <c r="F14" s="363"/>
      <c r="G14" s="361">
        <f>IF('Input Data'!$H$48&lt;'Input Data'!$H$36,F14,F14-2)</f>
        <v>0</v>
      </c>
      <c r="H14" s="862"/>
      <c r="I14" s="820">
        <f t="shared" si="0"/>
        <v>0</v>
      </c>
    </row>
    <row r="15" spans="1:9" x14ac:dyDescent="0.2">
      <c r="A15" s="256"/>
      <c r="B15" s="251"/>
      <c r="C15" s="251"/>
      <c r="D15" s="251"/>
      <c r="E15" s="251"/>
      <c r="F15" s="363"/>
      <c r="G15" s="361">
        <f>IF('Input Data'!$H$48&lt;'Input Data'!$H$36,F15,F15-2)</f>
        <v>0</v>
      </c>
      <c r="H15" s="862"/>
      <c r="I15" s="820">
        <f t="shared" si="0"/>
        <v>0</v>
      </c>
    </row>
    <row r="16" spans="1:9" ht="15.75" thickBot="1" x14ac:dyDescent="0.25">
      <c r="A16" s="329"/>
      <c r="B16" s="330"/>
      <c r="C16" s="330"/>
      <c r="D16" s="330"/>
      <c r="E16" s="330"/>
      <c r="F16" s="364"/>
      <c r="G16" s="1461">
        <f>IF('Input Data'!$H$48&lt;'Input Data'!$H$36,F16,F16-2)</f>
        <v>0</v>
      </c>
      <c r="H16" s="863"/>
      <c r="I16" s="864">
        <f t="shared" si="0"/>
        <v>0</v>
      </c>
    </row>
    <row r="17" spans="1:9" x14ac:dyDescent="0.2">
      <c r="A17" s="331"/>
      <c r="B17" s="332"/>
      <c r="C17" s="332"/>
      <c r="D17" s="332"/>
      <c r="E17" s="332"/>
      <c r="F17" s="332"/>
      <c r="G17" s="332"/>
      <c r="H17" s="865" t="s">
        <v>219</v>
      </c>
      <c r="I17" s="866">
        <f>SUM(I7:I16)</f>
        <v>0</v>
      </c>
    </row>
    <row r="18" spans="1:9" ht="15.75" thickBot="1" x14ac:dyDescent="0.25">
      <c r="A18" s="199"/>
      <c r="B18" s="139"/>
      <c r="C18" s="139"/>
      <c r="D18" s="139"/>
      <c r="E18" s="139"/>
      <c r="F18" s="139"/>
      <c r="G18" s="139"/>
      <c r="H18" s="867" t="s">
        <v>360</v>
      </c>
      <c r="I18" s="868"/>
    </row>
    <row r="19" spans="1:9" ht="15.75" thickTop="1" x14ac:dyDescent="0.2">
      <c r="A19" s="280" t="s">
        <v>49</v>
      </c>
      <c r="B19" s="278"/>
      <c r="C19" s="278"/>
      <c r="D19" s="278"/>
      <c r="E19" s="278"/>
      <c r="F19" s="278"/>
      <c r="G19" s="278"/>
      <c r="H19" s="869"/>
      <c r="I19" s="870"/>
    </row>
    <row r="20" spans="1:9" x14ac:dyDescent="0.2">
      <c r="A20" s="230" t="s">
        <v>50</v>
      </c>
      <c r="B20" s="231" t="s">
        <v>51</v>
      </c>
      <c r="C20" s="231"/>
      <c r="D20" s="231"/>
      <c r="E20" s="124"/>
      <c r="F20" s="124"/>
      <c r="G20" s="231" t="s">
        <v>52</v>
      </c>
      <c r="H20" s="871"/>
      <c r="I20" s="872"/>
    </row>
    <row r="21" spans="1:9" x14ac:dyDescent="0.2">
      <c r="A21" s="230" t="s">
        <v>36</v>
      </c>
      <c r="B21" s="231" t="s">
        <v>51</v>
      </c>
      <c r="C21" s="232"/>
      <c r="D21" s="232"/>
      <c r="E21" s="233"/>
      <c r="F21" s="124"/>
      <c r="G21" s="231" t="s">
        <v>52</v>
      </c>
      <c r="H21" s="873"/>
      <c r="I21" s="874"/>
    </row>
    <row r="22" spans="1:9" x14ac:dyDescent="0.2">
      <c r="A22" s="230" t="s">
        <v>38</v>
      </c>
      <c r="B22" s="231" t="s">
        <v>51</v>
      </c>
      <c r="C22" s="231"/>
      <c r="D22" s="231"/>
      <c r="E22" s="124"/>
      <c r="F22" s="124"/>
      <c r="G22" s="231" t="s">
        <v>52</v>
      </c>
      <c r="H22" s="871"/>
      <c r="I22" s="872"/>
    </row>
    <row r="23" spans="1:9" ht="30" x14ac:dyDescent="0.2">
      <c r="A23" s="226" t="s">
        <v>4</v>
      </c>
      <c r="B23" s="227" t="s">
        <v>40</v>
      </c>
      <c r="C23" s="227" t="s">
        <v>26</v>
      </c>
      <c r="D23" s="227" t="s">
        <v>53</v>
      </c>
      <c r="E23" s="227" t="s">
        <v>54</v>
      </c>
      <c r="F23" s="227" t="s">
        <v>221</v>
      </c>
      <c r="G23" s="227" t="s">
        <v>55</v>
      </c>
      <c r="H23" s="875" t="s">
        <v>5</v>
      </c>
      <c r="I23" s="876" t="s">
        <v>43</v>
      </c>
    </row>
    <row r="24" spans="1:9" x14ac:dyDescent="0.2">
      <c r="A24" s="283"/>
      <c r="B24" s="282"/>
      <c r="C24" s="282"/>
      <c r="D24" s="282"/>
      <c r="E24" s="282"/>
      <c r="F24" s="861"/>
      <c r="G24" s="362"/>
      <c r="H24" s="861"/>
      <c r="I24" s="818">
        <f>G24*H24+F24</f>
        <v>0</v>
      </c>
    </row>
    <row r="25" spans="1:9" x14ac:dyDescent="0.2">
      <c r="A25" s="256"/>
      <c r="B25" s="251"/>
      <c r="C25" s="251"/>
      <c r="D25" s="251"/>
      <c r="E25" s="251"/>
      <c r="F25" s="862"/>
      <c r="G25" s="363"/>
      <c r="H25" s="862"/>
      <c r="I25" s="820">
        <f t="shared" ref="I25:I33" si="1">G25*H25+F25</f>
        <v>0</v>
      </c>
    </row>
    <row r="26" spans="1:9" x14ac:dyDescent="0.2">
      <c r="A26" s="256"/>
      <c r="B26" s="251"/>
      <c r="C26" s="251"/>
      <c r="D26" s="251"/>
      <c r="E26" s="251"/>
      <c r="F26" s="862"/>
      <c r="G26" s="363"/>
      <c r="H26" s="862"/>
      <c r="I26" s="820">
        <f t="shared" si="1"/>
        <v>0</v>
      </c>
    </row>
    <row r="27" spans="1:9" x14ac:dyDescent="0.2">
      <c r="A27" s="256"/>
      <c r="B27" s="251"/>
      <c r="C27" s="251"/>
      <c r="D27" s="251"/>
      <c r="E27" s="251"/>
      <c r="F27" s="862"/>
      <c r="G27" s="363"/>
      <c r="H27" s="862"/>
      <c r="I27" s="820">
        <f t="shared" si="1"/>
        <v>0</v>
      </c>
    </row>
    <row r="28" spans="1:9" x14ac:dyDescent="0.2">
      <c r="A28" s="256"/>
      <c r="B28" s="251"/>
      <c r="C28" s="251"/>
      <c r="D28" s="251"/>
      <c r="E28" s="251"/>
      <c r="F28" s="862"/>
      <c r="G28" s="363"/>
      <c r="H28" s="862"/>
      <c r="I28" s="820">
        <f t="shared" si="1"/>
        <v>0</v>
      </c>
    </row>
    <row r="29" spans="1:9" x14ac:dyDescent="0.2">
      <c r="A29" s="256"/>
      <c r="B29" s="251"/>
      <c r="C29" s="251"/>
      <c r="D29" s="251"/>
      <c r="E29" s="251"/>
      <c r="F29" s="862"/>
      <c r="G29" s="363"/>
      <c r="H29" s="862"/>
      <c r="I29" s="820">
        <f t="shared" si="1"/>
        <v>0</v>
      </c>
    </row>
    <row r="30" spans="1:9" ht="15.75" customHeight="1" x14ac:dyDescent="0.2">
      <c r="A30" s="256"/>
      <c r="B30" s="251"/>
      <c r="C30" s="251"/>
      <c r="D30" s="251"/>
      <c r="E30" s="251"/>
      <c r="F30" s="862"/>
      <c r="G30" s="363"/>
      <c r="H30" s="862"/>
      <c r="I30" s="820">
        <f t="shared" si="1"/>
        <v>0</v>
      </c>
    </row>
    <row r="31" spans="1:9" x14ac:dyDescent="0.2">
      <c r="A31" s="256"/>
      <c r="B31" s="251"/>
      <c r="C31" s="251"/>
      <c r="D31" s="251"/>
      <c r="E31" s="251"/>
      <c r="F31" s="862"/>
      <c r="G31" s="363"/>
      <c r="H31" s="862"/>
      <c r="I31" s="820">
        <f t="shared" si="1"/>
        <v>0</v>
      </c>
    </row>
    <row r="32" spans="1:9" x14ac:dyDescent="0.2">
      <c r="A32" s="256"/>
      <c r="B32" s="251"/>
      <c r="C32" s="251"/>
      <c r="D32" s="251"/>
      <c r="E32" s="251"/>
      <c r="F32" s="862"/>
      <c r="G32" s="363"/>
      <c r="H32" s="862"/>
      <c r="I32" s="820">
        <f t="shared" si="1"/>
        <v>0</v>
      </c>
    </row>
    <row r="33" spans="1:9" ht="15.75" thickBot="1" x14ac:dyDescent="0.25">
      <c r="A33" s="329"/>
      <c r="B33" s="330"/>
      <c r="C33" s="330"/>
      <c r="D33" s="330"/>
      <c r="E33" s="330"/>
      <c r="F33" s="863"/>
      <c r="G33" s="364"/>
      <c r="H33" s="863"/>
      <c r="I33" s="823">
        <f t="shared" si="1"/>
        <v>0</v>
      </c>
    </row>
    <row r="34" spans="1:9" x14ac:dyDescent="0.2">
      <c r="A34" s="331"/>
      <c r="B34" s="332"/>
      <c r="C34" s="332"/>
      <c r="D34" s="332"/>
      <c r="E34" s="332"/>
      <c r="F34" s="332"/>
      <c r="G34" s="332"/>
      <c r="H34" s="865" t="s">
        <v>56</v>
      </c>
      <c r="I34" s="825">
        <f>SUM(I24:I33)</f>
        <v>0</v>
      </c>
    </row>
    <row r="35" spans="1:9" ht="15.75" thickBot="1" x14ac:dyDescent="0.25">
      <c r="A35" s="230"/>
      <c r="B35" s="235"/>
      <c r="C35" s="235"/>
      <c r="D35" s="235"/>
      <c r="E35" s="235"/>
      <c r="F35" s="235"/>
      <c r="G35" s="235"/>
      <c r="H35" s="867" t="s">
        <v>360</v>
      </c>
      <c r="I35" s="868"/>
    </row>
    <row r="36" spans="1:9" ht="15.75" thickTop="1" x14ac:dyDescent="0.2">
      <c r="A36" s="236" t="s">
        <v>632</v>
      </c>
      <c r="B36" s="224"/>
      <c r="C36" s="224"/>
      <c r="D36" s="224"/>
      <c r="E36" s="224"/>
      <c r="F36" s="224"/>
      <c r="G36" s="224"/>
      <c r="H36" s="877"/>
      <c r="I36" s="878"/>
    </row>
    <row r="37" spans="1:9" ht="30" x14ac:dyDescent="0.2">
      <c r="A37" s="226" t="s">
        <v>4</v>
      </c>
      <c r="B37" s="237" t="s">
        <v>40</v>
      </c>
      <c r="C37" s="238" t="s">
        <v>26</v>
      </c>
      <c r="D37" s="227" t="s">
        <v>57</v>
      </c>
      <c r="E37" s="227" t="s">
        <v>58</v>
      </c>
      <c r="F37" s="227"/>
      <c r="G37" s="227" t="s">
        <v>6</v>
      </c>
      <c r="H37" s="875" t="s">
        <v>11</v>
      </c>
      <c r="I37" s="876" t="s">
        <v>43</v>
      </c>
    </row>
    <row r="38" spans="1:9" x14ac:dyDescent="0.2">
      <c r="A38" s="255"/>
      <c r="B38" s="252"/>
      <c r="C38" s="252"/>
      <c r="D38" s="252"/>
      <c r="E38" s="252"/>
      <c r="F38" s="252"/>
      <c r="G38" s="365"/>
      <c r="H38" s="879"/>
      <c r="I38" s="880"/>
    </row>
    <row r="39" spans="1:9" x14ac:dyDescent="0.2">
      <c r="A39" s="256"/>
      <c r="B39" s="251"/>
      <c r="C39" s="251"/>
      <c r="D39" s="251"/>
      <c r="E39" s="251"/>
      <c r="F39" s="251"/>
      <c r="G39" s="363"/>
      <c r="H39" s="862"/>
      <c r="I39" s="881"/>
    </row>
    <row r="40" spans="1:9" x14ac:dyDescent="0.2">
      <c r="A40" s="256"/>
      <c r="B40" s="251"/>
      <c r="C40" s="251"/>
      <c r="D40" s="251"/>
      <c r="E40" s="251"/>
      <c r="F40" s="251"/>
      <c r="G40" s="363"/>
      <c r="H40" s="862"/>
      <c r="I40" s="881"/>
    </row>
    <row r="41" spans="1:9" x14ac:dyDescent="0.2">
      <c r="A41" s="256"/>
      <c r="B41" s="251"/>
      <c r="C41" s="251"/>
      <c r="D41" s="251"/>
      <c r="E41" s="251"/>
      <c r="F41" s="251"/>
      <c r="G41" s="363"/>
      <c r="H41" s="862"/>
      <c r="I41" s="881"/>
    </row>
    <row r="42" spans="1:9" x14ac:dyDescent="0.2">
      <c r="A42" s="256"/>
      <c r="B42" s="251"/>
      <c r="C42" s="251"/>
      <c r="D42" s="251"/>
      <c r="E42" s="251"/>
      <c r="F42" s="251"/>
      <c r="G42" s="363"/>
      <c r="H42" s="862"/>
      <c r="I42" s="881"/>
    </row>
    <row r="43" spans="1:9" x14ac:dyDescent="0.2">
      <c r="A43" s="256"/>
      <c r="B43" s="251"/>
      <c r="C43" s="251"/>
      <c r="D43" s="251"/>
      <c r="E43" s="251"/>
      <c r="F43" s="251"/>
      <c r="G43" s="363"/>
      <c r="H43" s="862"/>
      <c r="I43" s="881"/>
    </row>
    <row r="44" spans="1:9" x14ac:dyDescent="0.2">
      <c r="A44" s="256"/>
      <c r="B44" s="251"/>
      <c r="C44" s="251"/>
      <c r="D44" s="251"/>
      <c r="E44" s="251"/>
      <c r="F44" s="251"/>
      <c r="G44" s="363"/>
      <c r="H44" s="862"/>
      <c r="I44" s="881"/>
    </row>
    <row r="45" spans="1:9" ht="15.75" thickBot="1" x14ac:dyDescent="0.25">
      <c r="A45" s="329"/>
      <c r="B45" s="330"/>
      <c r="C45" s="330"/>
      <c r="D45" s="330"/>
      <c r="E45" s="330"/>
      <c r="F45" s="330"/>
      <c r="G45" s="364"/>
      <c r="H45" s="863"/>
      <c r="I45" s="882"/>
    </row>
    <row r="46" spans="1:9" x14ac:dyDescent="0.2">
      <c r="A46" s="331"/>
      <c r="B46" s="332"/>
      <c r="C46" s="332"/>
      <c r="D46" s="332"/>
      <c r="E46" s="332"/>
      <c r="F46" s="332"/>
      <c r="G46" s="332"/>
      <c r="H46" s="865" t="s">
        <v>59</v>
      </c>
      <c r="I46" s="866">
        <f>SUM(I38:I45)</f>
        <v>0</v>
      </c>
    </row>
    <row r="47" spans="1:9" ht="15.75" thickBot="1" x14ac:dyDescent="0.25">
      <c r="A47" s="128"/>
      <c r="B47" s="124"/>
      <c r="C47" s="124"/>
      <c r="D47" s="124"/>
      <c r="E47" s="124"/>
      <c r="F47" s="124"/>
      <c r="G47" s="124"/>
      <c r="H47" s="867" t="s">
        <v>360</v>
      </c>
      <c r="I47" s="868"/>
    </row>
    <row r="48" spans="1:9" ht="15.75" thickTop="1" x14ac:dyDescent="0.2">
      <c r="A48" s="236" t="s">
        <v>60</v>
      </c>
      <c r="B48" s="224"/>
      <c r="C48" s="224"/>
      <c r="D48" s="224"/>
      <c r="E48" s="224"/>
      <c r="F48" s="224"/>
      <c r="G48" s="224"/>
      <c r="H48" s="877"/>
      <c r="I48" s="878"/>
    </row>
    <row r="49" spans="1:9" ht="30" x14ac:dyDescent="0.2">
      <c r="A49" s="239" t="s">
        <v>4</v>
      </c>
      <c r="B49" s="237" t="s">
        <v>40</v>
      </c>
      <c r="C49" s="238" t="s">
        <v>26</v>
      </c>
      <c r="D49" s="240" t="s">
        <v>46</v>
      </c>
      <c r="E49" s="240" t="s">
        <v>47</v>
      </c>
      <c r="F49" s="240"/>
      <c r="G49" s="227" t="s">
        <v>61</v>
      </c>
      <c r="H49" s="875" t="s">
        <v>62</v>
      </c>
      <c r="I49" s="876" t="s">
        <v>43</v>
      </c>
    </row>
    <row r="50" spans="1:9" x14ac:dyDescent="0.2">
      <c r="A50" s="255"/>
      <c r="B50" s="261"/>
      <c r="C50" s="261"/>
      <c r="D50" s="252"/>
      <c r="E50" s="252"/>
      <c r="F50" s="252"/>
      <c r="G50" s="252"/>
      <c r="H50" s="879"/>
      <c r="I50" s="880"/>
    </row>
    <row r="51" spans="1:9" x14ac:dyDescent="0.2">
      <c r="A51" s="334"/>
      <c r="B51" s="257"/>
      <c r="C51" s="257"/>
      <c r="D51" s="251"/>
      <c r="E51" s="251"/>
      <c r="F51" s="251"/>
      <c r="G51" s="251"/>
      <c r="H51" s="862"/>
      <c r="I51" s="881"/>
    </row>
    <row r="52" spans="1:9" x14ac:dyDescent="0.2">
      <c r="A52" s="333"/>
      <c r="B52" s="257"/>
      <c r="C52" s="257"/>
      <c r="D52" s="251"/>
      <c r="E52" s="251"/>
      <c r="F52" s="251"/>
      <c r="G52" s="251"/>
      <c r="H52" s="862"/>
      <c r="I52" s="881"/>
    </row>
    <row r="53" spans="1:9" x14ac:dyDescent="0.2">
      <c r="A53" s="256"/>
      <c r="B53" s="257"/>
      <c r="C53" s="257"/>
      <c r="D53" s="251"/>
      <c r="E53" s="251"/>
      <c r="F53" s="251"/>
      <c r="G53" s="251"/>
      <c r="H53" s="862"/>
      <c r="I53" s="881"/>
    </row>
    <row r="54" spans="1:9" x14ac:dyDescent="0.2">
      <c r="A54" s="256"/>
      <c r="B54" s="257"/>
      <c r="C54" s="257"/>
      <c r="D54" s="251"/>
      <c r="E54" s="251"/>
      <c r="F54" s="251"/>
      <c r="G54" s="251"/>
      <c r="H54" s="862"/>
      <c r="I54" s="881"/>
    </row>
    <row r="55" spans="1:9" x14ac:dyDescent="0.2">
      <c r="A55" s="256"/>
      <c r="B55" s="257"/>
      <c r="C55" s="257"/>
      <c r="D55" s="251"/>
      <c r="E55" s="251"/>
      <c r="F55" s="251"/>
      <c r="G55" s="251"/>
      <c r="H55" s="862"/>
      <c r="I55" s="881"/>
    </row>
    <row r="56" spans="1:9" ht="15.75" thickBot="1" x14ac:dyDescent="0.25">
      <c r="A56" s="329"/>
      <c r="B56" s="335"/>
      <c r="C56" s="335"/>
      <c r="D56" s="330"/>
      <c r="E56" s="330"/>
      <c r="F56" s="330"/>
      <c r="G56" s="330"/>
      <c r="H56" s="863"/>
      <c r="I56" s="882"/>
    </row>
    <row r="57" spans="1:9" x14ac:dyDescent="0.2">
      <c r="A57" s="331"/>
      <c r="B57" s="332"/>
      <c r="C57" s="332"/>
      <c r="D57" s="332"/>
      <c r="E57" s="332"/>
      <c r="F57" s="332"/>
      <c r="G57" s="332"/>
      <c r="H57" s="865" t="s">
        <v>63</v>
      </c>
      <c r="I57" s="866">
        <f>SUM(I50:I56)</f>
        <v>0</v>
      </c>
    </row>
    <row r="58" spans="1:9" ht="15.75" thickBot="1" x14ac:dyDescent="0.25">
      <c r="A58" s="230"/>
      <c r="B58" s="235"/>
      <c r="C58" s="235"/>
      <c r="D58" s="235"/>
      <c r="E58" s="235"/>
      <c r="F58" s="235"/>
      <c r="G58" s="235"/>
      <c r="H58" s="867" t="s">
        <v>360</v>
      </c>
      <c r="I58" s="868"/>
    </row>
    <row r="59" spans="1:9" ht="16.5" thickTop="1" thickBot="1" x14ac:dyDescent="0.25">
      <c r="A59" s="230"/>
      <c r="B59" s="241"/>
      <c r="C59" s="241"/>
      <c r="D59" s="241"/>
      <c r="E59" s="241"/>
      <c r="F59" s="241"/>
      <c r="G59" s="241"/>
      <c r="H59" s="883"/>
      <c r="I59" s="872"/>
    </row>
    <row r="60" spans="1:9" ht="15.75" thickTop="1" x14ac:dyDescent="0.2">
      <c r="A60" s="242"/>
      <c r="B60" s="243"/>
      <c r="C60" s="243"/>
      <c r="D60" s="243"/>
      <c r="E60" s="244"/>
      <c r="F60" s="244"/>
      <c r="G60" s="244"/>
      <c r="H60" s="884" t="s">
        <v>220</v>
      </c>
      <c r="I60" s="885">
        <f>I46+I57+I34</f>
        <v>0</v>
      </c>
    </row>
    <row r="61" spans="1:9" ht="15.75" thickBot="1" x14ac:dyDescent="0.25">
      <c r="A61" s="245"/>
      <c r="B61" s="241"/>
      <c r="C61" s="241"/>
      <c r="D61" s="241"/>
      <c r="E61" s="241"/>
      <c r="F61" s="241"/>
      <c r="G61" s="241"/>
      <c r="H61" s="867" t="s">
        <v>360</v>
      </c>
      <c r="I61" s="886">
        <f>I18+I35+I47+I58</f>
        <v>0</v>
      </c>
    </row>
    <row r="62" spans="1:9" ht="15.75" thickTop="1" x14ac:dyDescent="0.2">
      <c r="I62" s="531"/>
    </row>
    <row r="63" spans="1:9" x14ac:dyDescent="0.2">
      <c r="I63" s="221"/>
    </row>
    <row r="64" spans="1:9" x14ac:dyDescent="0.2">
      <c r="I64" s="221"/>
    </row>
    <row r="65" spans="9:9" x14ac:dyDescent="0.2">
      <c r="I65" s="221"/>
    </row>
    <row r="66" spans="9:9" x14ac:dyDescent="0.2">
      <c r="I66" s="221"/>
    </row>
    <row r="67" spans="9:9" x14ac:dyDescent="0.2">
      <c r="I67" s="221"/>
    </row>
    <row r="68" spans="9:9" x14ac:dyDescent="0.2">
      <c r="I68" s="221"/>
    </row>
    <row r="69" spans="9:9" x14ac:dyDescent="0.2">
      <c r="I69" s="221"/>
    </row>
    <row r="70" spans="9:9" x14ac:dyDescent="0.2">
      <c r="I70" s="221"/>
    </row>
    <row r="71" spans="9:9" x14ac:dyDescent="0.2">
      <c r="I71" s="221"/>
    </row>
    <row r="72" spans="9:9" x14ac:dyDescent="0.2">
      <c r="I72" s="221"/>
    </row>
    <row r="73" spans="9:9" x14ac:dyDescent="0.2">
      <c r="I73" s="221"/>
    </row>
    <row r="74" spans="9:9" x14ac:dyDescent="0.2">
      <c r="I74" s="221"/>
    </row>
    <row r="75" spans="9:9" x14ac:dyDescent="0.2">
      <c r="I75" s="221"/>
    </row>
    <row r="76" spans="9:9" x14ac:dyDescent="0.2">
      <c r="I76" s="221"/>
    </row>
    <row r="77" spans="9:9" x14ac:dyDescent="0.2">
      <c r="I77" s="221"/>
    </row>
    <row r="78" spans="9:9" x14ac:dyDescent="0.2">
      <c r="I78" s="221"/>
    </row>
    <row r="79" spans="9:9" x14ac:dyDescent="0.2">
      <c r="I79" s="221"/>
    </row>
    <row r="80" spans="9:9" x14ac:dyDescent="0.2">
      <c r="I80" s="221"/>
    </row>
    <row r="81" spans="9:9" x14ac:dyDescent="0.2">
      <c r="I81" s="221"/>
    </row>
    <row r="82" spans="9:9" x14ac:dyDescent="0.2">
      <c r="I82" s="221"/>
    </row>
    <row r="83" spans="9:9" x14ac:dyDescent="0.2">
      <c r="I83" s="221"/>
    </row>
    <row r="84" spans="9:9" x14ac:dyDescent="0.2">
      <c r="I84" s="221"/>
    </row>
    <row r="85" spans="9:9" x14ac:dyDescent="0.2">
      <c r="I85" s="221"/>
    </row>
    <row r="86" spans="9:9" x14ac:dyDescent="0.2">
      <c r="I86" s="221"/>
    </row>
    <row r="87" spans="9:9" x14ac:dyDescent="0.2">
      <c r="I87" s="221"/>
    </row>
    <row r="88" spans="9:9" x14ac:dyDescent="0.2">
      <c r="I88" s="221"/>
    </row>
    <row r="89" spans="9:9" x14ac:dyDescent="0.2">
      <c r="I89" s="221"/>
    </row>
    <row r="90" spans="9:9" x14ac:dyDescent="0.2">
      <c r="I90" s="221"/>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0" type="noConversion"/>
  <pageMargins left="0.94488188976377963" right="0.55118110236220474" top="0.62992125984251968" bottom="0.98425196850393704" header="0.51181102362204722" footer="0.51181102362204722"/>
  <pageSetup paperSize="9" scale="66" orientation="portrait" horizontalDpi="4294967293" verticalDpi="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5"/>
  <sheetViews>
    <sheetView zoomScaleNormal="100" workbookViewId="0">
      <selection activeCell="F23" sqref="F23"/>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1200"/>
      <c r="B1" s="1115"/>
      <c r="C1" s="1115"/>
      <c r="D1" s="1201" t="s">
        <v>516</v>
      </c>
      <c r="E1" s="1202"/>
      <c r="F1" s="1202"/>
      <c r="G1" s="1115"/>
      <c r="H1" s="1115"/>
      <c r="I1" s="1115"/>
      <c r="J1" s="1115"/>
      <c r="K1" s="1115"/>
      <c r="L1" s="1115"/>
      <c r="M1" s="1116" t="s">
        <v>517</v>
      </c>
      <c r="N1" s="1203"/>
      <c r="O1" s="1116"/>
    </row>
    <row r="2" spans="1:15" x14ac:dyDescent="0.2">
      <c r="A2" s="1204"/>
      <c r="B2" s="1118"/>
      <c r="C2" s="531"/>
      <c r="D2" s="531" t="s">
        <v>518</v>
      </c>
      <c r="E2" s="531"/>
      <c r="F2" s="531"/>
      <c r="G2" s="531"/>
      <c r="H2" s="531"/>
      <c r="I2" s="531"/>
      <c r="J2" s="531"/>
      <c r="K2" s="531"/>
      <c r="L2" s="531"/>
      <c r="M2" s="531"/>
      <c r="N2" s="1118" t="s">
        <v>519</v>
      </c>
      <c r="O2" s="1121"/>
    </row>
    <row r="3" spans="1:15" x14ac:dyDescent="0.2">
      <c r="A3" s="1204"/>
      <c r="B3" s="1118"/>
      <c r="C3" s="531"/>
      <c r="D3" s="531"/>
      <c r="E3" s="531"/>
      <c r="F3" s="531"/>
      <c r="G3" s="531"/>
      <c r="H3" s="531"/>
      <c r="I3" s="531"/>
      <c r="J3" s="531"/>
      <c r="K3" s="531"/>
      <c r="L3" s="531"/>
      <c r="M3" s="531"/>
      <c r="N3" s="531"/>
      <c r="O3" s="1121"/>
    </row>
    <row r="4" spans="1:15" x14ac:dyDescent="0.2">
      <c r="A4" s="1204"/>
      <c r="B4" s="1118"/>
      <c r="C4" s="531"/>
      <c r="D4" s="531"/>
      <c r="E4" s="1205" t="s">
        <v>520</v>
      </c>
      <c r="F4" s="531"/>
      <c r="G4" s="531"/>
      <c r="H4" s="531"/>
      <c r="I4" s="1206" t="s">
        <v>467</v>
      </c>
      <c r="J4" s="1207">
        <v>0</v>
      </c>
      <c r="K4" s="531"/>
      <c r="L4" s="531"/>
      <c r="M4" s="1208" t="s">
        <v>521</v>
      </c>
      <c r="N4" s="531"/>
      <c r="O4" s="1209"/>
    </row>
    <row r="5" spans="1:15" x14ac:dyDescent="0.2">
      <c r="A5" s="1204"/>
      <c r="B5" s="1118"/>
      <c r="C5" s="531"/>
      <c r="D5" s="531"/>
      <c r="E5" s="1803" t="s">
        <v>522</v>
      </c>
      <c r="F5" s="1804"/>
      <c r="G5" s="1805">
        <v>0</v>
      </c>
      <c r="H5" s="1806"/>
      <c r="I5" s="531"/>
      <c r="J5" s="531"/>
      <c r="K5" s="531"/>
      <c r="L5" s="531"/>
      <c r="M5" s="1208" t="s">
        <v>523</v>
      </c>
      <c r="N5" s="1807"/>
      <c r="O5" s="1808"/>
    </row>
    <row r="6" spans="1:15" x14ac:dyDescent="0.2">
      <c r="A6" s="1210" t="s">
        <v>524</v>
      </c>
      <c r="B6" s="1118"/>
      <c r="C6" s="1211"/>
      <c r="D6" s="1127" t="s">
        <v>467</v>
      </c>
      <c r="E6" s="1137"/>
      <c r="F6" s="1137"/>
      <c r="G6" s="1137"/>
      <c r="H6" s="1137"/>
      <c r="I6" s="1137"/>
      <c r="J6" s="1137"/>
      <c r="K6" s="1137"/>
      <c r="L6" s="1137"/>
      <c r="M6" s="1137"/>
      <c r="N6" s="531"/>
      <c r="O6" s="1121"/>
    </row>
    <row r="7" spans="1:15" x14ac:dyDescent="0.2">
      <c r="A7" s="1210" t="s">
        <v>525</v>
      </c>
      <c r="B7" s="1118"/>
      <c r="C7" s="1206"/>
      <c r="D7" s="1127" t="s">
        <v>467</v>
      </c>
      <c r="E7" s="1137"/>
      <c r="F7" s="1137"/>
      <c r="G7" s="1137"/>
      <c r="H7" s="1137"/>
      <c r="I7" s="1137"/>
      <c r="J7" s="1212"/>
      <c r="K7" s="1137"/>
      <c r="L7" s="1137"/>
      <c r="M7" s="1137"/>
      <c r="N7" s="531"/>
      <c r="O7" s="1121"/>
    </row>
    <row r="8" spans="1:15" x14ac:dyDescent="0.2">
      <c r="A8" s="1204"/>
      <c r="B8" s="1118"/>
      <c r="C8" s="531"/>
      <c r="D8" s="1118"/>
      <c r="E8" s="1118"/>
      <c r="F8" s="1118"/>
      <c r="G8" s="1118"/>
      <c r="H8" s="1118"/>
      <c r="I8" s="1118"/>
      <c r="J8" s="1213"/>
      <c r="K8" s="1118"/>
      <c r="L8" s="1118"/>
      <c r="M8" s="1118"/>
      <c r="N8" s="1118"/>
      <c r="O8" s="1121"/>
    </row>
    <row r="9" spans="1:15" x14ac:dyDescent="0.2">
      <c r="A9" s="1210" t="s">
        <v>526</v>
      </c>
      <c r="B9" s="1118"/>
      <c r="C9" s="1127" t="s">
        <v>527</v>
      </c>
      <c r="D9" s="531"/>
      <c r="E9" s="531"/>
      <c r="F9" s="531"/>
      <c r="G9" s="531"/>
      <c r="H9" s="1118"/>
      <c r="I9" s="1118"/>
      <c r="J9" s="531"/>
      <c r="K9" s="531"/>
      <c r="L9" s="531"/>
      <c r="M9" s="531"/>
      <c r="N9" s="531"/>
      <c r="O9" s="1121"/>
    </row>
    <row r="10" spans="1:15" x14ac:dyDescent="0.2">
      <c r="A10" s="1214" t="s">
        <v>528</v>
      </c>
      <c r="B10" s="1215"/>
      <c r="C10" s="1216"/>
      <c r="D10" s="1216"/>
      <c r="E10" s="1216"/>
      <c r="F10" s="1216"/>
      <c r="G10" s="1216"/>
      <c r="H10" s="1217" t="s">
        <v>529</v>
      </c>
      <c r="I10" s="1218"/>
      <c r="J10" s="1219" t="s">
        <v>530</v>
      </c>
      <c r="K10" s="1187" t="s">
        <v>531</v>
      </c>
      <c r="L10" s="1220"/>
      <c r="M10" s="1221"/>
      <c r="N10" s="1222" t="s">
        <v>532</v>
      </c>
      <c r="O10" s="1223" t="s">
        <v>533</v>
      </c>
    </row>
    <row r="11" spans="1:15" x14ac:dyDescent="0.2">
      <c r="A11" s="1224"/>
      <c r="B11" s="1225"/>
      <c r="C11" s="1226"/>
      <c r="D11" s="1227" t="s">
        <v>534</v>
      </c>
      <c r="E11" s="1228"/>
      <c r="F11" s="1229" t="s">
        <v>535</v>
      </c>
      <c r="G11" s="1230"/>
      <c r="H11" s="1169" t="s">
        <v>536</v>
      </c>
      <c r="I11" s="1118"/>
      <c r="J11" s="1231" t="s">
        <v>537</v>
      </c>
      <c r="K11" s="1232" t="s">
        <v>538</v>
      </c>
      <c r="L11" s="1225" t="s">
        <v>539</v>
      </c>
      <c r="M11" s="1219" t="s">
        <v>540</v>
      </c>
      <c r="N11" s="1233" t="s">
        <v>541</v>
      </c>
      <c r="O11" s="1234" t="s">
        <v>542</v>
      </c>
    </row>
    <row r="12" spans="1:15" x14ac:dyDescent="0.2">
      <c r="A12" s="1235"/>
      <c r="B12" s="1809" t="s">
        <v>4</v>
      </c>
      <c r="C12" s="1810"/>
      <c r="D12" s="1236" t="s">
        <v>543</v>
      </c>
      <c r="E12" s="1237"/>
      <c r="F12" s="1238" t="s">
        <v>543</v>
      </c>
      <c r="G12" s="1237"/>
      <c r="H12" s="1809" t="s">
        <v>544</v>
      </c>
      <c r="I12" s="1811"/>
      <c r="J12" s="1239" t="s">
        <v>545</v>
      </c>
      <c r="K12" s="1240" t="s">
        <v>546</v>
      </c>
      <c r="L12" s="1238" t="s">
        <v>547</v>
      </c>
      <c r="M12" s="1241" t="s">
        <v>548</v>
      </c>
      <c r="N12" s="1239" t="s">
        <v>549</v>
      </c>
      <c r="O12" s="1242" t="s">
        <v>550</v>
      </c>
    </row>
    <row r="13" spans="1:15" x14ac:dyDescent="0.2">
      <c r="A13" s="1243" t="s">
        <v>551</v>
      </c>
      <c r="B13" s="1244"/>
      <c r="C13" s="1245"/>
      <c r="D13" s="1812"/>
      <c r="E13" s="1813"/>
      <c r="F13" s="1244"/>
      <c r="G13" s="1245"/>
      <c r="H13" s="1246"/>
      <c r="I13" s="1247"/>
      <c r="J13" s="1248"/>
      <c r="K13" s="1249"/>
      <c r="L13" s="1250"/>
      <c r="M13" s="1251"/>
      <c r="N13" s="1245"/>
      <c r="O13" s="1252"/>
    </row>
    <row r="14" spans="1:15" x14ac:dyDescent="0.2">
      <c r="A14" s="1253" t="s">
        <v>552</v>
      </c>
      <c r="B14" s="1254"/>
      <c r="C14" s="1149"/>
      <c r="D14" s="1240"/>
      <c r="E14" s="1255"/>
      <c r="F14" s="1254"/>
      <c r="G14" s="1149"/>
      <c r="H14" s="1256"/>
      <c r="I14" s="1257"/>
      <c r="J14" s="1258"/>
      <c r="K14" s="1259"/>
      <c r="L14" s="1259"/>
      <c r="M14" s="1260"/>
      <c r="N14" s="1239"/>
      <c r="O14" s="1261"/>
    </row>
    <row r="15" spans="1:15" x14ac:dyDescent="0.2">
      <c r="A15" s="1262"/>
      <c r="B15" s="1263"/>
      <c r="C15" s="1118"/>
      <c r="D15" s="1233"/>
      <c r="E15" s="1124"/>
      <c r="F15" s="1263"/>
      <c r="G15" s="1118"/>
      <c r="H15" s="1118"/>
      <c r="I15" s="1118"/>
      <c r="J15" s="1211" t="s">
        <v>447</v>
      </c>
      <c r="K15" s="1233" t="s">
        <v>449</v>
      </c>
      <c r="L15" s="1211" t="s">
        <v>451</v>
      </c>
      <c r="M15" s="1233" t="s">
        <v>453</v>
      </c>
      <c r="N15" s="1118"/>
      <c r="O15" s="1264" t="s">
        <v>10</v>
      </c>
    </row>
    <row r="16" spans="1:15" ht="15.75" thickBot="1" x14ac:dyDescent="0.25">
      <c r="A16" s="1204" t="s">
        <v>553</v>
      </c>
      <c r="B16" s="1263"/>
      <c r="C16" s="1118"/>
      <c r="D16" s="1233"/>
      <c r="E16" s="1124"/>
      <c r="F16" s="1263"/>
      <c r="G16" s="1118"/>
      <c r="H16" s="1118"/>
      <c r="I16" s="1118"/>
      <c r="J16" s="1127" t="s">
        <v>554</v>
      </c>
      <c r="K16" s="1118"/>
      <c r="L16" s="1141"/>
      <c r="M16" s="1127"/>
      <c r="N16" s="1118"/>
      <c r="O16" s="1265">
        <f>J13+J14+K13+K14+L13+L14+M13+M14</f>
        <v>0</v>
      </c>
    </row>
    <row r="17" spans="1:15" x14ac:dyDescent="0.2">
      <c r="A17" s="1204" t="s">
        <v>555</v>
      </c>
      <c r="B17" s="1263"/>
      <c r="C17" s="1118"/>
      <c r="D17" s="1233"/>
      <c r="E17" s="1266"/>
      <c r="F17" s="1263"/>
      <c r="G17" s="1118"/>
      <c r="H17" s="1118"/>
      <c r="I17" s="1118"/>
      <c r="J17" s="1233"/>
      <c r="K17" s="1267"/>
      <c r="L17" s="1268"/>
      <c r="M17" s="1269"/>
      <c r="N17" s="1270" t="s">
        <v>556</v>
      </c>
      <c r="O17" s="1271" t="s">
        <v>10</v>
      </c>
    </row>
    <row r="18" spans="1:15" ht="15.75" thickBot="1" x14ac:dyDescent="0.25">
      <c r="A18" s="1272" t="s">
        <v>557</v>
      </c>
      <c r="B18" s="1273"/>
      <c r="C18" s="1198"/>
      <c r="D18" s="1274"/>
      <c r="E18" s="1275"/>
      <c r="F18" s="1273"/>
      <c r="G18" s="1198"/>
      <c r="H18" s="1198"/>
      <c r="I18" s="1198"/>
      <c r="J18" s="1274"/>
      <c r="K18" s="1276" t="s">
        <v>558</v>
      </c>
      <c r="L18" s="1275"/>
      <c r="M18" s="1274"/>
      <c r="N18" s="1277">
        <v>0</v>
      </c>
      <c r="O18" s="1278"/>
    </row>
    <row r="19" spans="1:15" ht="15.75" thickTop="1" x14ac:dyDescent="0.2">
      <c r="A19" s="1204"/>
      <c r="B19" s="1263"/>
      <c r="C19" s="1118"/>
      <c r="D19" s="1233"/>
      <c r="E19" s="1266"/>
      <c r="F19" s="1263"/>
      <c r="G19" s="1118"/>
      <c r="H19" s="1118"/>
      <c r="I19" s="1118"/>
      <c r="J19" s="1233"/>
      <c r="K19" s="1263"/>
      <c r="L19" s="1266"/>
      <c r="M19" s="1233"/>
      <c r="N19" s="1233"/>
      <c r="O19" s="1279"/>
    </row>
    <row r="20" spans="1:15" x14ac:dyDescent="0.2">
      <c r="A20" s="1214" t="s">
        <v>559</v>
      </c>
      <c r="B20" s="1216"/>
      <c r="C20" s="1215"/>
      <c r="D20" s="1216"/>
      <c r="E20" s="1216"/>
      <c r="F20" s="1216"/>
      <c r="G20" s="1216"/>
      <c r="H20" s="1216"/>
      <c r="I20" s="1216"/>
      <c r="J20" s="1216"/>
      <c r="K20" s="1216"/>
      <c r="L20" s="1216"/>
      <c r="M20" s="1216"/>
      <c r="N20" s="1216"/>
      <c r="O20" s="1280"/>
    </row>
    <row r="21" spans="1:15" x14ac:dyDescent="0.2">
      <c r="A21" s="1281"/>
      <c r="B21" s="1215" t="s">
        <v>560</v>
      </c>
      <c r="C21" s="1149"/>
      <c r="D21" s="1216"/>
      <c r="E21" s="1216"/>
      <c r="F21" s="1216"/>
      <c r="G21" s="1216"/>
      <c r="H21" s="1282"/>
      <c r="I21" s="1215" t="s">
        <v>561</v>
      </c>
      <c r="J21" s="1216"/>
      <c r="K21" s="1215"/>
      <c r="L21" s="1216"/>
      <c r="M21" s="1283" t="s">
        <v>562</v>
      </c>
      <c r="N21" s="1187"/>
      <c r="O21" s="1284"/>
    </row>
    <row r="22" spans="1:15" x14ac:dyDescent="0.2">
      <c r="A22" s="1285" t="s">
        <v>563</v>
      </c>
      <c r="B22" s="1237"/>
      <c r="C22" s="1286"/>
      <c r="D22" s="1287" t="s">
        <v>564</v>
      </c>
      <c r="E22" s="1237"/>
      <c r="F22" s="1239"/>
      <c r="G22" s="1239"/>
      <c r="H22" s="1288" t="s">
        <v>565</v>
      </c>
      <c r="I22" s="1216"/>
      <c r="J22" s="1216"/>
      <c r="K22" s="1289" t="s">
        <v>566</v>
      </c>
      <c r="L22" s="1216"/>
      <c r="M22" s="1290" t="s">
        <v>567</v>
      </c>
      <c r="N22" s="1291" t="s">
        <v>558</v>
      </c>
      <c r="O22" s="1292"/>
    </row>
    <row r="23" spans="1:15" x14ac:dyDescent="0.2">
      <c r="A23" s="1253" t="s">
        <v>546</v>
      </c>
      <c r="B23" s="1287" t="s">
        <v>4</v>
      </c>
      <c r="C23" s="1237"/>
      <c r="D23" s="1287" t="s">
        <v>546</v>
      </c>
      <c r="E23" s="1237"/>
      <c r="F23" s="1293" t="s">
        <v>4</v>
      </c>
      <c r="G23" s="1239"/>
      <c r="H23" s="1814" t="s">
        <v>546</v>
      </c>
      <c r="I23" s="1815"/>
      <c r="J23" s="1293" t="s">
        <v>4</v>
      </c>
      <c r="K23" s="1293" t="s">
        <v>546</v>
      </c>
      <c r="L23" s="1293" t="s">
        <v>4</v>
      </c>
      <c r="M23" s="1294" t="s">
        <v>546</v>
      </c>
      <c r="N23" s="1295" t="s">
        <v>556</v>
      </c>
      <c r="O23" s="1296" t="s">
        <v>568</v>
      </c>
    </row>
    <row r="24" spans="1:15" x14ac:dyDescent="0.2">
      <c r="A24" s="1297"/>
      <c r="B24" s="1298"/>
      <c r="C24" s="1137"/>
      <c r="D24" s="1299"/>
      <c r="E24" s="1300"/>
      <c r="F24" s="1298"/>
      <c r="G24" s="1137"/>
      <c r="H24" s="1301"/>
      <c r="I24" s="1302"/>
      <c r="J24" s="1303"/>
      <c r="K24" s="1298"/>
      <c r="L24" s="1303"/>
      <c r="M24" s="1304"/>
      <c r="N24" s="1305"/>
      <c r="O24" s="1306"/>
    </row>
    <row r="25" spans="1:15" x14ac:dyDescent="0.2">
      <c r="A25" s="1297"/>
      <c r="B25" s="1298"/>
      <c r="C25" s="1137"/>
      <c r="D25" s="1299"/>
      <c r="E25" s="1300"/>
      <c r="F25" s="1298"/>
      <c r="G25" s="1137"/>
      <c r="H25" s="1301"/>
      <c r="I25" s="1302"/>
      <c r="J25" s="1303"/>
      <c r="K25" s="1298"/>
      <c r="L25" s="1303"/>
      <c r="M25" s="1304"/>
      <c r="N25" s="1305"/>
      <c r="O25" s="1306"/>
    </row>
    <row r="26" spans="1:15" x14ac:dyDescent="0.2">
      <c r="A26" s="1307"/>
      <c r="B26" s="1254"/>
      <c r="C26" s="1149"/>
      <c r="D26" s="1308"/>
      <c r="E26" s="1309"/>
      <c r="F26" s="1254"/>
      <c r="G26" s="1149"/>
      <c r="H26" s="1301"/>
      <c r="I26" s="1257"/>
      <c r="J26" s="1310"/>
      <c r="K26" s="1254"/>
      <c r="L26" s="1310"/>
      <c r="M26" s="1311"/>
      <c r="N26" s="1239"/>
      <c r="O26" s="1312"/>
    </row>
    <row r="27" spans="1:15" ht="15.75" thickBot="1" x14ac:dyDescent="0.25">
      <c r="A27" s="1313"/>
      <c r="B27" s="1314"/>
      <c r="C27" s="1314"/>
      <c r="D27" s="1314"/>
      <c r="E27" s="1314"/>
      <c r="F27" s="1314"/>
      <c r="G27" s="1314"/>
      <c r="H27" s="1315"/>
      <c r="I27" s="1314"/>
      <c r="J27" s="1314"/>
      <c r="K27" s="1314"/>
      <c r="L27" s="1316" t="s">
        <v>569</v>
      </c>
      <c r="M27" s="1317"/>
      <c r="N27" s="1318"/>
      <c r="O27" s="1319"/>
    </row>
    <row r="28" spans="1:15" ht="15.75" thickTop="1" x14ac:dyDescent="0.2">
      <c r="A28" s="1204"/>
      <c r="B28" s="1118"/>
      <c r="C28" s="531"/>
      <c r="D28" s="531"/>
      <c r="E28" s="531"/>
      <c r="F28" s="531"/>
      <c r="G28" s="531"/>
      <c r="H28" s="1127"/>
      <c r="I28" s="1118"/>
      <c r="J28" s="1211"/>
      <c r="K28" s="1233"/>
      <c r="L28" s="1211"/>
      <c r="M28" s="1233"/>
      <c r="N28" s="1118"/>
      <c r="O28" s="1121"/>
    </row>
    <row r="29" spans="1:15" x14ac:dyDescent="0.2">
      <c r="A29" s="1210" t="s">
        <v>570</v>
      </c>
      <c r="B29" s="1118"/>
      <c r="C29" s="1149"/>
      <c r="D29" s="531"/>
      <c r="E29" s="531"/>
      <c r="F29" s="531"/>
      <c r="G29" s="531"/>
      <c r="H29" s="531"/>
      <c r="I29" s="531"/>
      <c r="J29" s="531"/>
      <c r="K29" s="531"/>
      <c r="L29" s="531"/>
      <c r="M29" s="531"/>
      <c r="N29" s="531"/>
      <c r="O29" s="1121"/>
    </row>
    <row r="30" spans="1:15" x14ac:dyDescent="0.2">
      <c r="A30" s="1214" t="s">
        <v>571</v>
      </c>
      <c r="B30" s="1215"/>
      <c r="C30" s="1149"/>
      <c r="D30" s="1216"/>
      <c r="E30" s="1216"/>
      <c r="F30" s="1216"/>
      <c r="G30" s="1320"/>
      <c r="H30" s="1118"/>
      <c r="I30" s="531"/>
      <c r="J30" s="1289" t="s">
        <v>572</v>
      </c>
      <c r="K30" s="1321"/>
      <c r="L30" s="1216"/>
      <c r="M30" s="1216"/>
      <c r="N30" s="1216"/>
      <c r="O30" s="1322"/>
    </row>
    <row r="31" spans="1:15" x14ac:dyDescent="0.2">
      <c r="A31" s="1285" t="s">
        <v>573</v>
      </c>
      <c r="B31" s="1237"/>
      <c r="C31" s="1323"/>
      <c r="D31" s="1205" t="s">
        <v>574</v>
      </c>
      <c r="E31" s="531"/>
      <c r="F31" s="1189" t="s">
        <v>575</v>
      </c>
      <c r="G31" s="1173"/>
      <c r="H31" s="1118"/>
      <c r="I31" s="531"/>
      <c r="J31" s="1289" t="s">
        <v>576</v>
      </c>
      <c r="K31" s="1216"/>
      <c r="L31" s="1216"/>
      <c r="M31" s="1216"/>
      <c r="N31" s="1216"/>
      <c r="O31" s="1324" t="s">
        <v>577</v>
      </c>
    </row>
    <row r="32" spans="1:15" x14ac:dyDescent="0.2">
      <c r="A32" s="1253" t="s">
        <v>556</v>
      </c>
      <c r="B32" s="1325" t="s">
        <v>578</v>
      </c>
      <c r="C32" s="1326"/>
      <c r="D32" s="1327" t="s">
        <v>5</v>
      </c>
      <c r="E32" s="1237"/>
      <c r="F32" s="1328" t="s">
        <v>579</v>
      </c>
      <c r="G32" s="1257"/>
      <c r="H32" s="1233"/>
      <c r="I32" s="531"/>
      <c r="J32" s="1328" t="s">
        <v>580</v>
      </c>
      <c r="K32" s="1149"/>
      <c r="L32" s="1329"/>
      <c r="M32" s="1330"/>
      <c r="N32" s="1330"/>
      <c r="O32" s="1331"/>
    </row>
    <row r="33" spans="1:15" x14ac:dyDescent="0.2">
      <c r="A33" s="1332">
        <v>0</v>
      </c>
      <c r="B33" s="1333"/>
      <c r="C33" s="1334"/>
      <c r="D33" s="1335"/>
      <c r="E33" s="1336" t="s">
        <v>581</v>
      </c>
      <c r="F33" s="1337">
        <f>A33*D33</f>
        <v>0</v>
      </c>
      <c r="G33" s="1247"/>
      <c r="H33" s="1233"/>
      <c r="I33" s="531"/>
      <c r="J33" s="1219" t="s">
        <v>7</v>
      </c>
      <c r="K33" s="1219" t="s">
        <v>7</v>
      </c>
      <c r="L33" s="1219" t="s">
        <v>582</v>
      </c>
      <c r="M33" s="1338" t="s">
        <v>7</v>
      </c>
      <c r="N33" s="1338" t="s">
        <v>583</v>
      </c>
      <c r="O33" s="1145" t="s">
        <v>584</v>
      </c>
    </row>
    <row r="34" spans="1:15" x14ac:dyDescent="0.2">
      <c r="A34" s="1339">
        <v>0</v>
      </c>
      <c r="B34" s="1340" t="s">
        <v>585</v>
      </c>
      <c r="C34" s="1341"/>
      <c r="D34" s="1342"/>
      <c r="E34" s="1343" t="s">
        <v>581</v>
      </c>
      <c r="F34" s="1344">
        <f>A34*D34</f>
        <v>0</v>
      </c>
      <c r="G34" s="1302"/>
      <c r="H34" s="1118"/>
      <c r="I34" s="531"/>
      <c r="J34" s="1241" t="s">
        <v>586</v>
      </c>
      <c r="K34" s="1241" t="s">
        <v>587</v>
      </c>
      <c r="L34" s="1241" t="s">
        <v>588</v>
      </c>
      <c r="M34" s="1295" t="s">
        <v>568</v>
      </c>
      <c r="N34" s="1295" t="s">
        <v>5</v>
      </c>
      <c r="O34" s="1345" t="s">
        <v>579</v>
      </c>
    </row>
    <row r="35" spans="1:15" x14ac:dyDescent="0.2">
      <c r="A35" s="1346"/>
      <c r="B35" s="1347">
        <v>0</v>
      </c>
      <c r="C35" s="1348" t="s">
        <v>589</v>
      </c>
      <c r="D35" s="1349"/>
      <c r="E35" s="1350" t="s">
        <v>590</v>
      </c>
      <c r="F35" s="1351">
        <f>B35*D35</f>
        <v>0</v>
      </c>
      <c r="G35" s="1348"/>
      <c r="H35" s="1118"/>
      <c r="I35" s="531"/>
      <c r="J35" s="1352"/>
      <c r="K35" s="1353"/>
      <c r="L35" s="1354"/>
      <c r="M35" s="1355"/>
      <c r="N35" s="1356"/>
      <c r="O35" s="1357"/>
    </row>
    <row r="36" spans="1:15" x14ac:dyDescent="0.2">
      <c r="A36" s="1358" t="s">
        <v>585</v>
      </c>
      <c r="B36" s="1359">
        <v>0</v>
      </c>
      <c r="C36" s="1149" t="s">
        <v>589</v>
      </c>
      <c r="D36" s="1360"/>
      <c r="E36" s="1361" t="s">
        <v>590</v>
      </c>
      <c r="F36" s="1362">
        <f>B36*D36</f>
        <v>0</v>
      </c>
      <c r="G36" s="1257"/>
      <c r="H36" s="1118"/>
      <c r="I36" s="531"/>
      <c r="J36" s="1258">
        <f>M27</f>
        <v>0</v>
      </c>
      <c r="K36" s="1363" t="s">
        <v>591</v>
      </c>
      <c r="L36" s="1258"/>
      <c r="M36" s="1260">
        <f>J36-L36</f>
        <v>0</v>
      </c>
      <c r="N36" s="1364"/>
      <c r="O36" s="1365">
        <f>M36*N36</f>
        <v>0</v>
      </c>
    </row>
    <row r="37" spans="1:15" ht="15.75" thickBot="1" x14ac:dyDescent="0.25">
      <c r="A37" s="1366"/>
      <c r="B37" s="1367"/>
      <c r="C37" s="1367"/>
      <c r="D37" s="1368" t="s">
        <v>592</v>
      </c>
      <c r="E37" s="1369"/>
      <c r="F37" s="1370">
        <f>SUM(F33:F36)</f>
        <v>0</v>
      </c>
      <c r="G37" s="1371"/>
      <c r="H37" s="1198"/>
      <c r="I37" s="1198"/>
      <c r="J37" s="1372"/>
      <c r="K37" s="1367"/>
      <c r="L37" s="1367"/>
      <c r="M37" s="1368" t="s">
        <v>593</v>
      </c>
      <c r="N37" s="1198"/>
      <c r="O37" s="1373">
        <f>SUM(O35:O36)</f>
        <v>0</v>
      </c>
    </row>
    <row r="38" spans="1:15" ht="15.75" thickTop="1" x14ac:dyDescent="0.2">
      <c r="A38" s="1204"/>
      <c r="B38" s="1118"/>
      <c r="C38" s="531"/>
      <c r="D38" s="1127"/>
      <c r="E38" s="1118"/>
      <c r="F38" s="1177"/>
      <c r="G38" s="1118"/>
      <c r="H38" s="531"/>
      <c r="I38" s="531"/>
      <c r="J38" s="531"/>
      <c r="K38" s="531"/>
      <c r="L38" s="531"/>
      <c r="M38" s="531"/>
      <c r="N38" s="531"/>
      <c r="O38" s="1121"/>
    </row>
    <row r="39" spans="1:15" x14ac:dyDescent="0.2">
      <c r="A39" s="1210" t="s">
        <v>594</v>
      </c>
      <c r="B39" s="1127"/>
      <c r="C39" s="1149"/>
      <c r="D39" s="531"/>
      <c r="E39" s="531"/>
      <c r="F39" s="1146"/>
      <c r="G39" s="531"/>
      <c r="H39" s="531"/>
      <c r="I39" s="531"/>
      <c r="J39" s="531"/>
      <c r="K39" s="1149"/>
      <c r="L39" s="531"/>
      <c r="M39" s="531"/>
      <c r="N39" s="531"/>
      <c r="O39" s="1121"/>
    </row>
    <row r="40" spans="1:15" x14ac:dyDescent="0.2">
      <c r="A40" s="1374" t="s">
        <v>46</v>
      </c>
      <c r="B40" s="1375" t="s">
        <v>595</v>
      </c>
      <c r="C40" s="1188"/>
      <c r="D40" s="1227" t="s">
        <v>596</v>
      </c>
      <c r="E40" s="1226"/>
      <c r="F40" s="1217"/>
      <c r="G40" s="1376"/>
      <c r="H40" s="1375"/>
      <c r="I40" s="1376"/>
      <c r="J40" s="1377" t="s">
        <v>53</v>
      </c>
      <c r="K40" s="1378" t="s">
        <v>597</v>
      </c>
      <c r="L40" s="1377" t="s">
        <v>5</v>
      </c>
      <c r="M40" s="1816" t="s">
        <v>598</v>
      </c>
      <c r="N40" s="1817"/>
      <c r="O40" s="1379" t="s">
        <v>8</v>
      </c>
    </row>
    <row r="41" spans="1:15" x14ac:dyDescent="0.2">
      <c r="A41" s="1253" t="s">
        <v>47</v>
      </c>
      <c r="B41" s="1287" t="s">
        <v>599</v>
      </c>
      <c r="C41" s="1237"/>
      <c r="D41" s="1287" t="s">
        <v>599</v>
      </c>
      <c r="E41" s="1237"/>
      <c r="F41" s="1287" t="s">
        <v>600</v>
      </c>
      <c r="G41" s="1237"/>
      <c r="H41" s="1380" t="s">
        <v>7</v>
      </c>
      <c r="I41" s="1327" t="s">
        <v>577</v>
      </c>
      <c r="J41" s="1293" t="s">
        <v>14</v>
      </c>
      <c r="K41" s="1287" t="s">
        <v>601</v>
      </c>
      <c r="L41" s="1293" t="s">
        <v>602</v>
      </c>
      <c r="M41" s="1293" t="s">
        <v>352</v>
      </c>
      <c r="N41" s="1293" t="s">
        <v>603</v>
      </c>
      <c r="O41" s="1345" t="s">
        <v>604</v>
      </c>
    </row>
    <row r="42" spans="1:15" x14ac:dyDescent="0.2">
      <c r="A42" s="1381" t="s">
        <v>605</v>
      </c>
      <c r="B42" s="1187"/>
      <c r="C42" s="1188"/>
      <c r="D42" s="1187"/>
      <c r="E42" s="1188"/>
      <c r="F42" s="1187"/>
      <c r="G42" s="1188"/>
      <c r="H42" s="1382"/>
      <c r="I42" s="1188"/>
      <c r="J42" s="1232"/>
      <c r="K42" s="1232"/>
      <c r="L42" s="1383"/>
      <c r="M42" s="1384"/>
      <c r="N42" s="1187"/>
      <c r="O42" s="1385"/>
    </row>
    <row r="43" spans="1:15" x14ac:dyDescent="0.2">
      <c r="A43" s="1386" t="s">
        <v>606</v>
      </c>
      <c r="B43" s="1387"/>
      <c r="C43" s="1137" t="s">
        <v>577</v>
      </c>
      <c r="D43" s="1387"/>
      <c r="E43" s="1137" t="s">
        <v>577</v>
      </c>
      <c r="F43" s="1387"/>
      <c r="G43" s="1137" t="s">
        <v>577</v>
      </c>
      <c r="H43" s="1388">
        <f>B43+D43+F43</f>
        <v>0</v>
      </c>
      <c r="I43" s="1137" t="s">
        <v>577</v>
      </c>
      <c r="J43" s="1299" t="s">
        <v>607</v>
      </c>
      <c r="K43" s="1299"/>
      <c r="L43" s="1389"/>
      <c r="M43" s="1390">
        <v>0.14000000000000001</v>
      </c>
      <c r="N43" s="1391"/>
      <c r="O43" s="1392">
        <f>H43*L43/100+N43/(1+M43)</f>
        <v>0</v>
      </c>
    </row>
    <row r="44" spans="1:15" x14ac:dyDescent="0.2">
      <c r="A44" s="1393"/>
      <c r="B44" s="1256"/>
      <c r="C44" s="1149"/>
      <c r="D44" s="1256"/>
      <c r="E44" s="1149"/>
      <c r="F44" s="1256"/>
      <c r="G44" s="1149"/>
      <c r="H44" s="1394"/>
      <c r="I44" s="1149"/>
      <c r="J44" s="1240" t="s">
        <v>608</v>
      </c>
      <c r="K44" s="1240"/>
      <c r="L44" s="1395"/>
      <c r="M44" s="1396"/>
      <c r="N44" s="1397">
        <f>N43/1.14</f>
        <v>0</v>
      </c>
      <c r="O44" s="1398"/>
    </row>
    <row r="45" spans="1:15" ht="15.75" thickBot="1" x14ac:dyDescent="0.25">
      <c r="A45" s="1366"/>
      <c r="B45" s="1367"/>
      <c r="C45" s="1367"/>
      <c r="D45" s="1367"/>
      <c r="E45" s="1367"/>
      <c r="F45" s="1367"/>
      <c r="G45" s="1367"/>
      <c r="H45" s="1399"/>
      <c r="I45" s="1367"/>
      <c r="J45" s="1367"/>
      <c r="K45" s="1400"/>
      <c r="L45" s="1314"/>
      <c r="M45" s="1368" t="s">
        <v>609</v>
      </c>
      <c r="N45" s="1369"/>
      <c r="O45" s="1401">
        <f>SUM(O42:O44)</f>
        <v>0</v>
      </c>
    </row>
    <row r="46" spans="1:15" ht="15.75" thickTop="1" x14ac:dyDescent="0.2">
      <c r="A46" s="1204"/>
      <c r="B46" s="1118"/>
      <c r="C46" s="1118"/>
      <c r="D46" s="1118"/>
      <c r="E46" s="1118"/>
      <c r="F46" s="1118"/>
      <c r="G46" s="1118"/>
      <c r="H46" s="1118"/>
      <c r="I46" s="1118"/>
      <c r="J46" s="1118"/>
      <c r="K46" s="1118"/>
      <c r="L46" s="1118"/>
      <c r="M46" s="1118"/>
      <c r="N46" s="1118"/>
      <c r="O46" s="1121"/>
    </row>
    <row r="47" spans="1:15" ht="15.75" thickBot="1" x14ac:dyDescent="0.25">
      <c r="A47" s="1402" t="s">
        <v>610</v>
      </c>
      <c r="B47" s="1403"/>
      <c r="C47" s="1404"/>
      <c r="D47" s="1404"/>
      <c r="E47" s="1404"/>
      <c r="F47" s="1404"/>
      <c r="G47" s="1404"/>
      <c r="H47" s="1404"/>
      <c r="I47" s="1404"/>
      <c r="J47" s="1404"/>
      <c r="K47" s="1404"/>
      <c r="L47" s="1404"/>
      <c r="M47" s="1404"/>
      <c r="N47" s="1198"/>
      <c r="O47" s="1121"/>
    </row>
    <row r="48" spans="1:15" ht="16.5" thickTop="1" thickBot="1" x14ac:dyDescent="0.25">
      <c r="A48" s="1405" t="s">
        <v>4</v>
      </c>
      <c r="B48" s="1406"/>
      <c r="C48" s="1406"/>
      <c r="D48" s="1818" t="s">
        <v>611</v>
      </c>
      <c r="E48" s="1819"/>
      <c r="F48" s="1820"/>
      <c r="G48" s="1407"/>
      <c r="H48" s="1408" t="s">
        <v>612</v>
      </c>
      <c r="I48" s="1407"/>
      <c r="J48" s="1409"/>
      <c r="K48" s="1410"/>
      <c r="L48" s="1818" t="s">
        <v>61</v>
      </c>
      <c r="M48" s="1821"/>
      <c r="N48" s="1822"/>
      <c r="O48" s="1411" t="s">
        <v>8</v>
      </c>
    </row>
    <row r="49" spans="1:15" x14ac:dyDescent="0.2">
      <c r="A49" s="1412"/>
      <c r="B49" s="1413"/>
      <c r="C49" s="1413"/>
      <c r="D49" s="1414" t="s">
        <v>613</v>
      </c>
      <c r="E49" s="1413"/>
      <c r="F49" s="1415"/>
      <c r="G49" s="1416"/>
      <c r="H49" s="1417"/>
      <c r="I49" s="1417"/>
      <c r="J49" s="1417"/>
      <c r="K49" s="1418"/>
      <c r="L49" s="1416"/>
      <c r="M49" s="1419"/>
      <c r="N49" s="1420"/>
      <c r="O49" s="1421">
        <v>0</v>
      </c>
    </row>
    <row r="50" spans="1:15" ht="15.75" thickBot="1" x14ac:dyDescent="0.25">
      <c r="A50" s="1422"/>
      <c r="B50" s="1423"/>
      <c r="C50" s="1404"/>
      <c r="D50" s="1424"/>
      <c r="E50" s="1404"/>
      <c r="F50" s="1425"/>
      <c r="G50" s="1424"/>
      <c r="H50" s="1404"/>
      <c r="I50" s="1404"/>
      <c r="J50" s="1404"/>
      <c r="K50" s="1425"/>
      <c r="L50" s="1426"/>
      <c r="M50" s="1369"/>
      <c r="N50" s="1371"/>
      <c r="O50" s="1427"/>
    </row>
    <row r="51" spans="1:15" ht="15.75" thickTop="1" x14ac:dyDescent="0.2">
      <c r="A51" s="1204"/>
      <c r="B51" s="1118"/>
      <c r="C51" s="1118"/>
      <c r="D51" s="1118"/>
      <c r="E51" s="1118"/>
      <c r="F51" s="1118"/>
      <c r="G51" s="1118"/>
      <c r="H51" s="1118"/>
      <c r="I51" s="1118"/>
      <c r="J51" s="1118"/>
      <c r="K51" s="1118"/>
      <c r="L51" s="1118"/>
      <c r="M51" s="1118"/>
      <c r="N51" s="1118"/>
      <c r="O51" s="1121"/>
    </row>
    <row r="52" spans="1:15" x14ac:dyDescent="0.2">
      <c r="A52" s="1428" t="s">
        <v>614</v>
      </c>
      <c r="B52" s="1149"/>
      <c r="C52" s="1149"/>
      <c r="D52" s="1149"/>
      <c r="E52" s="1149"/>
      <c r="F52" s="1149"/>
      <c r="G52" s="1149"/>
      <c r="H52" s="1149"/>
      <c r="I52" s="1149"/>
      <c r="J52" s="1149"/>
      <c r="K52" s="1149"/>
      <c r="L52" s="1149"/>
      <c r="M52" s="1149"/>
      <c r="N52" s="1149"/>
      <c r="O52" s="1143"/>
    </row>
    <row r="53" spans="1:15" x14ac:dyDescent="0.2">
      <c r="A53" s="1285" t="s">
        <v>4</v>
      </c>
      <c r="B53" s="1327"/>
      <c r="C53" s="1237"/>
      <c r="D53" s="1256"/>
      <c r="E53" s="1329" t="s">
        <v>615</v>
      </c>
      <c r="F53" s="1149"/>
      <c r="G53" s="1149"/>
      <c r="H53" s="1149"/>
      <c r="I53" s="1149"/>
      <c r="J53" s="1256"/>
      <c r="K53" s="1329" t="s">
        <v>61</v>
      </c>
      <c r="L53" s="1149"/>
      <c r="M53" s="1149"/>
      <c r="N53" s="1429" t="s">
        <v>7</v>
      </c>
      <c r="O53" s="1345" t="s">
        <v>8</v>
      </c>
    </row>
    <row r="54" spans="1:15" x14ac:dyDescent="0.2">
      <c r="A54" s="1204"/>
      <c r="B54" s="531"/>
      <c r="C54" s="531"/>
      <c r="D54" s="1169"/>
      <c r="E54" s="531"/>
      <c r="F54" s="531"/>
      <c r="G54" s="1430"/>
      <c r="H54" s="531"/>
      <c r="I54" s="531"/>
      <c r="J54" s="1169"/>
      <c r="K54" s="531"/>
      <c r="L54" s="531"/>
      <c r="M54" s="531"/>
      <c r="N54" s="1396"/>
      <c r="O54" s="1151"/>
    </row>
    <row r="55" spans="1:15" x14ac:dyDescent="0.2">
      <c r="A55" s="1431"/>
      <c r="B55" s="1237"/>
      <c r="C55" s="1237"/>
      <c r="D55" s="1236"/>
      <c r="E55" s="1286"/>
      <c r="F55" s="1286"/>
      <c r="G55" s="1286"/>
      <c r="H55" s="1286"/>
      <c r="I55" s="1286"/>
      <c r="J55" s="1240"/>
      <c r="K55" s="1286"/>
      <c r="L55" s="1149"/>
      <c r="M55" s="1149"/>
      <c r="N55" s="1295">
        <v>4</v>
      </c>
      <c r="O55" s="1432">
        <v>0</v>
      </c>
    </row>
    <row r="56" spans="1:15" x14ac:dyDescent="0.2">
      <c r="A56" s="1433" t="s">
        <v>616</v>
      </c>
      <c r="B56" s="1434"/>
      <c r="C56" s="1149"/>
      <c r="D56" s="1169"/>
      <c r="E56" s="1435"/>
      <c r="F56" s="1435"/>
      <c r="G56" s="1230"/>
      <c r="H56" s="1230"/>
      <c r="I56" s="1230"/>
      <c r="J56" s="1187"/>
      <c r="K56" s="1230"/>
      <c r="L56" s="1230"/>
      <c r="M56" s="1188"/>
      <c r="N56" s="1384"/>
      <c r="O56" s="1379" t="s">
        <v>617</v>
      </c>
    </row>
    <row r="57" spans="1:15" x14ac:dyDescent="0.2">
      <c r="A57" s="1253" t="s">
        <v>618</v>
      </c>
      <c r="B57" s="1287" t="s">
        <v>552</v>
      </c>
      <c r="C57" s="1237"/>
      <c r="D57" s="1287" t="s">
        <v>560</v>
      </c>
      <c r="E57" s="1237"/>
      <c r="F57" s="1237"/>
      <c r="G57" s="1237"/>
      <c r="H57" s="1237"/>
      <c r="I57" s="1237"/>
      <c r="J57" s="1328" t="s">
        <v>619</v>
      </c>
      <c r="K57" s="1436"/>
      <c r="L57" s="1436"/>
      <c r="M57" s="1436"/>
      <c r="N57" s="1295" t="s">
        <v>7</v>
      </c>
      <c r="O57" s="1345" t="s">
        <v>620</v>
      </c>
    </row>
    <row r="58" spans="1:15" x14ac:dyDescent="0.2">
      <c r="A58" s="1339"/>
      <c r="B58" s="1437"/>
      <c r="C58" s="1438"/>
      <c r="D58" s="1387"/>
      <c r="E58" s="1137"/>
      <c r="F58" s="1137"/>
      <c r="G58" s="1137"/>
      <c r="H58" s="1137"/>
      <c r="I58" s="1137"/>
      <c r="J58" s="1387"/>
      <c r="K58" s="1137"/>
      <c r="L58" s="1137"/>
      <c r="M58" s="1137"/>
      <c r="N58" s="1439" t="s">
        <v>621</v>
      </c>
      <c r="O58" s="1440">
        <v>0</v>
      </c>
    </row>
    <row r="59" spans="1:15" x14ac:dyDescent="0.2">
      <c r="A59" s="1441"/>
      <c r="B59" s="1238"/>
      <c r="C59" s="1237"/>
      <c r="D59" s="1442" t="s">
        <v>622</v>
      </c>
      <c r="E59" s="1443" t="s">
        <v>623</v>
      </c>
      <c r="F59" s="1286"/>
      <c r="G59" s="1286"/>
      <c r="H59" s="1286"/>
      <c r="I59" s="1286"/>
      <c r="J59" s="1236" t="s">
        <v>624</v>
      </c>
      <c r="K59" s="1286"/>
      <c r="L59" s="1286"/>
      <c r="M59" s="1286"/>
      <c r="N59" s="1241" t="s">
        <v>625</v>
      </c>
      <c r="O59" s="1444">
        <v>0</v>
      </c>
    </row>
    <row r="60" spans="1:15" x14ac:dyDescent="0.2">
      <c r="A60" s="1445"/>
      <c r="B60" s="1446"/>
      <c r="C60" s="1447"/>
      <c r="D60" s="1447"/>
      <c r="E60" s="1447"/>
      <c r="F60" s="1447"/>
      <c r="G60" s="1447"/>
      <c r="H60" s="1447"/>
      <c r="I60" s="1447"/>
      <c r="J60" s="1448" t="s">
        <v>626</v>
      </c>
      <c r="K60" s="1216"/>
      <c r="L60" s="1216"/>
      <c r="M60" s="1216"/>
      <c r="N60" s="1429" t="s">
        <v>625</v>
      </c>
      <c r="O60" s="1449">
        <f>O59</f>
        <v>0</v>
      </c>
    </row>
    <row r="61" spans="1:15" ht="15.75" thickBot="1" x14ac:dyDescent="0.25">
      <c r="A61" s="1366"/>
      <c r="B61" s="1367"/>
      <c r="C61" s="1367"/>
      <c r="D61" s="1367"/>
      <c r="E61" s="1367"/>
      <c r="F61" s="1367"/>
      <c r="G61" s="1367"/>
      <c r="H61" s="1367"/>
      <c r="I61" s="1450"/>
      <c r="J61" s="1451" t="s">
        <v>627</v>
      </c>
      <c r="K61" s="1198"/>
      <c r="L61" s="1198"/>
      <c r="M61" s="1198"/>
      <c r="N61" s="1198"/>
      <c r="O61" s="1452">
        <f>O58+O55+O45+O37+F37</f>
        <v>0</v>
      </c>
    </row>
    <row r="62" spans="1:15" ht="15.75" thickTop="1" x14ac:dyDescent="0.2"/>
    <row r="63" spans="1:15" x14ac:dyDescent="0.2">
      <c r="A63" s="1453" t="s">
        <v>628</v>
      </c>
      <c r="B63" s="1801" t="s">
        <v>629</v>
      </c>
      <c r="C63" s="1802"/>
      <c r="D63" s="1802"/>
      <c r="E63" s="1802"/>
      <c r="F63" s="1802"/>
      <c r="G63" s="1802"/>
      <c r="H63" s="1802"/>
      <c r="I63" s="1802"/>
      <c r="J63" s="1802"/>
      <c r="K63" s="1802"/>
      <c r="L63" s="1802"/>
      <c r="M63" s="1802"/>
      <c r="N63" s="1802"/>
      <c r="O63" s="1802"/>
    </row>
    <row r="64" spans="1:15" x14ac:dyDescent="0.2">
      <c r="A64" s="1454"/>
      <c r="B64" s="1455"/>
      <c r="J64" s="1456"/>
    </row>
    <row r="65" spans="1:15" ht="59.25" customHeight="1" x14ac:dyDescent="0.2">
      <c r="A65" s="1454"/>
      <c r="B65" s="1801" t="s">
        <v>630</v>
      </c>
      <c r="C65" s="1802"/>
      <c r="D65" s="1802"/>
      <c r="E65" s="1802"/>
      <c r="F65" s="1802"/>
      <c r="G65" s="1802"/>
      <c r="H65" s="1802"/>
      <c r="I65" s="1802"/>
      <c r="J65" s="1802"/>
      <c r="K65" s="1802"/>
      <c r="L65" s="1802"/>
      <c r="M65" s="1802"/>
      <c r="N65" s="1802"/>
      <c r="O65" s="1802"/>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zoomScaleNormal="100" zoomScaleSheetLayoutView="90" workbookViewId="0"/>
  </sheetViews>
  <sheetFormatPr defaultRowHeight="15" x14ac:dyDescent="0.2"/>
  <cols>
    <col min="1" max="1" width="34.5546875" customWidth="1"/>
    <col min="9" max="9" width="9.77734375" bestFit="1" customWidth="1"/>
  </cols>
  <sheetData>
    <row r="1" spans="1:9" ht="22.5" customHeight="1" thickTop="1" x14ac:dyDescent="0.2">
      <c r="A1" s="1459" t="s">
        <v>64</v>
      </c>
      <c r="B1" s="222"/>
      <c r="C1" s="222"/>
      <c r="D1" s="222"/>
      <c r="E1" s="222"/>
      <c r="F1" s="222"/>
      <c r="G1" s="222"/>
      <c r="H1" s="222"/>
      <c r="I1" s="223"/>
    </row>
    <row r="2" spans="1:9" ht="21.75" customHeight="1" x14ac:dyDescent="0.2">
      <c r="A2" s="258" t="s">
        <v>218</v>
      </c>
      <c r="B2" s="158"/>
      <c r="C2" s="158"/>
      <c r="D2" s="124"/>
      <c r="E2" s="279" t="s">
        <v>231</v>
      </c>
      <c r="F2" s="158"/>
      <c r="G2" s="158"/>
      <c r="H2" s="158"/>
      <c r="I2" s="246"/>
    </row>
    <row r="3" spans="1:9" ht="15.75" x14ac:dyDescent="0.2">
      <c r="A3" s="270" t="s">
        <v>359</v>
      </c>
      <c r="B3" s="1106">
        <f>'Input Data'!$D$28</f>
        <v>0</v>
      </c>
      <c r="C3" s="231"/>
      <c r="D3" s="206" t="s">
        <v>298</v>
      </c>
      <c r="E3" s="1107">
        <f>'Input Data'!$D$5</f>
        <v>0</v>
      </c>
      <c r="F3" s="124"/>
      <c r="G3" s="124"/>
      <c r="H3" s="124"/>
      <c r="I3" s="130"/>
    </row>
    <row r="4" spans="1:9" ht="15.75" thickBot="1" x14ac:dyDescent="0.25">
      <c r="A4" s="199"/>
      <c r="B4" s="139"/>
      <c r="C4" s="139"/>
      <c r="D4" s="139"/>
      <c r="E4" s="139"/>
      <c r="F4" s="139"/>
      <c r="G4" s="139"/>
      <c r="H4" s="139"/>
      <c r="I4" s="200"/>
    </row>
    <row r="5" spans="1:9" ht="15.75" thickTop="1" x14ac:dyDescent="0.2">
      <c r="A5" s="159"/>
      <c r="B5" s="126"/>
      <c r="C5" s="126"/>
      <c r="D5" s="126"/>
      <c r="E5" s="126"/>
      <c r="F5" s="126"/>
      <c r="G5" s="126"/>
      <c r="H5" s="126"/>
      <c r="I5" s="127"/>
    </row>
    <row r="6" spans="1:9" x14ac:dyDescent="0.2">
      <c r="A6" s="236" t="s">
        <v>15</v>
      </c>
      <c r="B6" s="229"/>
      <c r="C6" s="229"/>
      <c r="D6" s="229"/>
      <c r="E6" s="229"/>
      <c r="F6" s="229"/>
      <c r="G6" s="229"/>
      <c r="H6" s="229"/>
      <c r="I6" s="248"/>
    </row>
    <row r="7" spans="1:9" ht="30" x14ac:dyDescent="0.2">
      <c r="A7" s="1827" t="s">
        <v>65</v>
      </c>
      <c r="B7" s="1774"/>
      <c r="C7" s="1774"/>
      <c r="D7" s="1774"/>
      <c r="E7" s="1774"/>
      <c r="F7" s="1828"/>
      <c r="G7" s="240" t="s">
        <v>18</v>
      </c>
      <c r="H7" s="887" t="s">
        <v>5</v>
      </c>
      <c r="I7" s="888" t="s">
        <v>43</v>
      </c>
    </row>
    <row r="8" spans="1:9" x14ac:dyDescent="0.2">
      <c r="A8" s="1829"/>
      <c r="B8" s="1830"/>
      <c r="C8" s="1830"/>
      <c r="D8" s="1830"/>
      <c r="E8" s="1830"/>
      <c r="F8" s="1831"/>
      <c r="G8" s="281"/>
      <c r="H8" s="889"/>
      <c r="I8" s="890">
        <f t="shared" ref="I8:I14" si="0">G8*H8</f>
        <v>0</v>
      </c>
    </row>
    <row r="9" spans="1:9" x14ac:dyDescent="0.2">
      <c r="A9" s="1832"/>
      <c r="B9" s="1833"/>
      <c r="C9" s="1833"/>
      <c r="D9" s="1833"/>
      <c r="E9" s="1833"/>
      <c r="F9" s="1824"/>
      <c r="G9" s="251"/>
      <c r="H9" s="891"/>
      <c r="I9" s="820">
        <f t="shared" si="0"/>
        <v>0</v>
      </c>
    </row>
    <row r="10" spans="1:9" x14ac:dyDescent="0.2">
      <c r="A10" s="1832"/>
      <c r="B10" s="1833"/>
      <c r="C10" s="1833"/>
      <c r="D10" s="1833"/>
      <c r="E10" s="1833"/>
      <c r="F10" s="1824"/>
      <c r="G10" s="251"/>
      <c r="H10" s="891"/>
      <c r="I10" s="820">
        <f t="shared" si="0"/>
        <v>0</v>
      </c>
    </row>
    <row r="11" spans="1:9" x14ac:dyDescent="0.2">
      <c r="A11" s="1832"/>
      <c r="B11" s="1833"/>
      <c r="C11" s="1833"/>
      <c r="D11" s="1833"/>
      <c r="E11" s="1833"/>
      <c r="F11" s="1824"/>
      <c r="G11" s="251"/>
      <c r="H11" s="891"/>
      <c r="I11" s="820">
        <f t="shared" si="0"/>
        <v>0</v>
      </c>
    </row>
    <row r="12" spans="1:9" x14ac:dyDescent="0.2">
      <c r="A12" s="1832"/>
      <c r="B12" s="1833"/>
      <c r="C12" s="1833"/>
      <c r="D12" s="1833"/>
      <c r="E12" s="1833"/>
      <c r="F12" s="1824"/>
      <c r="G12" s="251"/>
      <c r="H12" s="891"/>
      <c r="I12" s="820">
        <f t="shared" si="0"/>
        <v>0</v>
      </c>
    </row>
    <row r="13" spans="1:9" x14ac:dyDescent="0.2">
      <c r="A13" s="1832"/>
      <c r="B13" s="1833"/>
      <c r="C13" s="1833"/>
      <c r="D13" s="1833"/>
      <c r="E13" s="1833"/>
      <c r="F13" s="1824"/>
      <c r="G13" s="251"/>
      <c r="H13" s="891"/>
      <c r="I13" s="820">
        <f t="shared" si="0"/>
        <v>0</v>
      </c>
    </row>
    <row r="14" spans="1:9" ht="15.75" thickBot="1" x14ac:dyDescent="0.25">
      <c r="A14" s="1834"/>
      <c r="B14" s="1835"/>
      <c r="C14" s="1835"/>
      <c r="D14" s="1835"/>
      <c r="E14" s="1835"/>
      <c r="F14" s="1826"/>
      <c r="G14" s="330"/>
      <c r="H14" s="892"/>
      <c r="I14" s="864">
        <f t="shared" si="0"/>
        <v>0</v>
      </c>
    </row>
    <row r="15" spans="1:9" x14ac:dyDescent="0.2">
      <c r="A15" s="331"/>
      <c r="B15" s="332"/>
      <c r="C15" s="332"/>
      <c r="D15" s="332"/>
      <c r="E15" s="332"/>
      <c r="F15" s="332"/>
      <c r="G15" s="332"/>
      <c r="H15" s="865" t="s">
        <v>66</v>
      </c>
      <c r="I15" s="866">
        <f>SUM(I8:I14)</f>
        <v>0</v>
      </c>
    </row>
    <row r="16" spans="1:9" x14ac:dyDescent="0.2">
      <c r="A16" s="230"/>
      <c r="B16" s="235"/>
      <c r="C16" s="235"/>
      <c r="D16" s="235"/>
      <c r="E16" s="235"/>
      <c r="F16" s="235"/>
      <c r="G16" s="235"/>
      <c r="H16" s="826" t="s">
        <v>360</v>
      </c>
      <c r="I16" s="836"/>
    </row>
    <row r="17" spans="1:9" x14ac:dyDescent="0.2">
      <c r="A17" s="236" t="s">
        <v>16</v>
      </c>
      <c r="B17" s="224"/>
      <c r="C17" s="224"/>
      <c r="D17" s="224"/>
      <c r="E17" s="224"/>
      <c r="F17" s="224"/>
      <c r="G17" s="224"/>
      <c r="H17" s="877"/>
      <c r="I17" s="893"/>
    </row>
    <row r="18" spans="1:9" ht="30" x14ac:dyDescent="0.2">
      <c r="A18" s="1827" t="s">
        <v>17</v>
      </c>
      <c r="B18" s="1774"/>
      <c r="C18" s="1774"/>
      <c r="D18" s="1774"/>
      <c r="E18" s="1828"/>
      <c r="F18" s="240" t="s">
        <v>18</v>
      </c>
      <c r="G18" s="240" t="s">
        <v>67</v>
      </c>
      <c r="H18" s="887" t="s">
        <v>5</v>
      </c>
      <c r="I18" s="888" t="s">
        <v>43</v>
      </c>
    </row>
    <row r="19" spans="1:9" x14ac:dyDescent="0.2">
      <c r="A19" s="1829"/>
      <c r="B19" s="1830"/>
      <c r="C19" s="1830"/>
      <c r="D19" s="1830"/>
      <c r="E19" s="1831"/>
      <c r="F19" s="282"/>
      <c r="G19" s="282"/>
      <c r="H19" s="894"/>
      <c r="I19" s="818">
        <f t="shared" ref="I19:I27" si="1">F19*G19*H19</f>
        <v>0</v>
      </c>
    </row>
    <row r="20" spans="1:9" x14ac:dyDescent="0.2">
      <c r="A20" s="1832"/>
      <c r="B20" s="1833"/>
      <c r="C20" s="1833"/>
      <c r="D20" s="1833"/>
      <c r="E20" s="1824"/>
      <c r="F20" s="251"/>
      <c r="G20" s="251"/>
      <c r="H20" s="891"/>
      <c r="I20" s="820">
        <f t="shared" si="1"/>
        <v>0</v>
      </c>
    </row>
    <row r="21" spans="1:9" x14ac:dyDescent="0.2">
      <c r="A21" s="1832"/>
      <c r="B21" s="1833"/>
      <c r="C21" s="1833"/>
      <c r="D21" s="1833"/>
      <c r="E21" s="1824"/>
      <c r="F21" s="251"/>
      <c r="G21" s="251"/>
      <c r="H21" s="891"/>
      <c r="I21" s="820">
        <f t="shared" si="1"/>
        <v>0</v>
      </c>
    </row>
    <row r="22" spans="1:9" x14ac:dyDescent="0.2">
      <c r="A22" s="1832"/>
      <c r="B22" s="1833"/>
      <c r="C22" s="1833"/>
      <c r="D22" s="1833"/>
      <c r="E22" s="1824"/>
      <c r="F22" s="251"/>
      <c r="G22" s="251"/>
      <c r="H22" s="891"/>
      <c r="I22" s="820">
        <f t="shared" si="1"/>
        <v>0</v>
      </c>
    </row>
    <row r="23" spans="1:9" x14ac:dyDescent="0.2">
      <c r="A23" s="1832"/>
      <c r="B23" s="1833"/>
      <c r="C23" s="1833"/>
      <c r="D23" s="1833"/>
      <c r="E23" s="1824"/>
      <c r="F23" s="251"/>
      <c r="G23" s="251"/>
      <c r="H23" s="891"/>
      <c r="I23" s="820">
        <f t="shared" si="1"/>
        <v>0</v>
      </c>
    </row>
    <row r="24" spans="1:9" x14ac:dyDescent="0.2">
      <c r="A24" s="1832"/>
      <c r="B24" s="1833"/>
      <c r="C24" s="1833"/>
      <c r="D24" s="1833"/>
      <c r="E24" s="1824"/>
      <c r="F24" s="251"/>
      <c r="G24" s="251"/>
      <c r="H24" s="891"/>
      <c r="I24" s="820">
        <f t="shared" si="1"/>
        <v>0</v>
      </c>
    </row>
    <row r="25" spans="1:9" x14ac:dyDescent="0.2">
      <c r="A25" s="1832"/>
      <c r="B25" s="1833"/>
      <c r="C25" s="1833"/>
      <c r="D25" s="1833"/>
      <c r="E25" s="1824"/>
      <c r="F25" s="251"/>
      <c r="G25" s="251"/>
      <c r="H25" s="891"/>
      <c r="I25" s="820">
        <f t="shared" si="1"/>
        <v>0</v>
      </c>
    </row>
    <row r="26" spans="1:9" x14ac:dyDescent="0.2">
      <c r="A26" s="1832"/>
      <c r="B26" s="1833"/>
      <c r="C26" s="1833"/>
      <c r="D26" s="1833"/>
      <c r="E26" s="1824"/>
      <c r="F26" s="251"/>
      <c r="G26" s="251"/>
      <c r="H26" s="891"/>
      <c r="I26" s="820">
        <f t="shared" si="1"/>
        <v>0</v>
      </c>
    </row>
    <row r="27" spans="1:9" ht="15.75" thickBot="1" x14ac:dyDescent="0.25">
      <c r="A27" s="1834"/>
      <c r="B27" s="1835"/>
      <c r="C27" s="1835"/>
      <c r="D27" s="1835"/>
      <c r="E27" s="1826"/>
      <c r="F27" s="330"/>
      <c r="G27" s="330"/>
      <c r="H27" s="892"/>
      <c r="I27" s="864">
        <f t="shared" si="1"/>
        <v>0</v>
      </c>
    </row>
    <row r="28" spans="1:9" x14ac:dyDescent="0.2">
      <c r="A28" s="331"/>
      <c r="B28" s="332"/>
      <c r="C28" s="332"/>
      <c r="D28" s="332"/>
      <c r="E28" s="332"/>
      <c r="F28" s="332"/>
      <c r="G28" s="332"/>
      <c r="H28" s="865" t="s">
        <v>68</v>
      </c>
      <c r="I28" s="866">
        <f>SUM(I19:I27)</f>
        <v>0</v>
      </c>
    </row>
    <row r="29" spans="1:9" x14ac:dyDescent="0.2">
      <c r="A29" s="230"/>
      <c r="B29" s="235"/>
      <c r="C29" s="235"/>
      <c r="D29" s="235"/>
      <c r="E29" s="235"/>
      <c r="F29" s="235"/>
      <c r="G29" s="235"/>
      <c r="H29" s="826" t="s">
        <v>360</v>
      </c>
      <c r="I29" s="836"/>
    </row>
    <row r="30" spans="1:9" x14ac:dyDescent="0.2">
      <c r="A30" s="236" t="s">
        <v>69</v>
      </c>
      <c r="B30" s="224"/>
      <c r="C30" s="224"/>
      <c r="D30" s="224"/>
      <c r="E30" s="224"/>
      <c r="F30" s="224"/>
      <c r="G30" s="224"/>
      <c r="H30" s="877"/>
      <c r="I30" s="895"/>
    </row>
    <row r="31" spans="1:9" ht="45" x14ac:dyDescent="0.2">
      <c r="A31" s="1827" t="s">
        <v>17</v>
      </c>
      <c r="B31" s="1774"/>
      <c r="C31" s="1774"/>
      <c r="D31" s="1774"/>
      <c r="E31" s="1774"/>
      <c r="F31" s="1828"/>
      <c r="G31" s="227" t="s">
        <v>70</v>
      </c>
      <c r="H31" s="875" t="s">
        <v>5</v>
      </c>
      <c r="I31" s="888" t="s">
        <v>43</v>
      </c>
    </row>
    <row r="32" spans="1:9" x14ac:dyDescent="0.2">
      <c r="A32" s="1829"/>
      <c r="B32" s="1830"/>
      <c r="C32" s="1830"/>
      <c r="D32" s="1830"/>
      <c r="E32" s="1830"/>
      <c r="F32" s="1831"/>
      <c r="G32" s="282"/>
      <c r="H32" s="894"/>
      <c r="I32" s="818">
        <f t="shared" ref="I32:I38" si="2">G32*H32</f>
        <v>0</v>
      </c>
    </row>
    <row r="33" spans="1:9" x14ac:dyDescent="0.2">
      <c r="A33" s="1832"/>
      <c r="B33" s="1833"/>
      <c r="C33" s="1833"/>
      <c r="D33" s="1833"/>
      <c r="E33" s="1833"/>
      <c r="F33" s="1824"/>
      <c r="G33" s="251"/>
      <c r="H33" s="891"/>
      <c r="I33" s="820">
        <f t="shared" si="2"/>
        <v>0</v>
      </c>
    </row>
    <row r="34" spans="1:9" x14ac:dyDescent="0.2">
      <c r="A34" s="1832"/>
      <c r="B34" s="1833"/>
      <c r="C34" s="1833"/>
      <c r="D34" s="1833"/>
      <c r="E34" s="1833"/>
      <c r="F34" s="1824"/>
      <c r="G34" s="251"/>
      <c r="H34" s="891"/>
      <c r="I34" s="820">
        <f t="shared" si="2"/>
        <v>0</v>
      </c>
    </row>
    <row r="35" spans="1:9" x14ac:dyDescent="0.2">
      <c r="A35" s="1832"/>
      <c r="B35" s="1833"/>
      <c r="C35" s="1833"/>
      <c r="D35" s="1833"/>
      <c r="E35" s="1833"/>
      <c r="F35" s="1824"/>
      <c r="G35" s="251"/>
      <c r="H35" s="891"/>
      <c r="I35" s="820">
        <f t="shared" si="2"/>
        <v>0</v>
      </c>
    </row>
    <row r="36" spans="1:9" x14ac:dyDescent="0.2">
      <c r="A36" s="1832"/>
      <c r="B36" s="1833"/>
      <c r="C36" s="1833"/>
      <c r="D36" s="1833"/>
      <c r="E36" s="1833"/>
      <c r="F36" s="1824"/>
      <c r="G36" s="251"/>
      <c r="H36" s="891"/>
      <c r="I36" s="820">
        <f t="shared" si="2"/>
        <v>0</v>
      </c>
    </row>
    <row r="37" spans="1:9" x14ac:dyDescent="0.2">
      <c r="A37" s="1832"/>
      <c r="B37" s="1833"/>
      <c r="C37" s="1833"/>
      <c r="D37" s="1833"/>
      <c r="E37" s="1833"/>
      <c r="F37" s="1824"/>
      <c r="G37" s="251"/>
      <c r="H37" s="891"/>
      <c r="I37" s="820">
        <f t="shared" si="2"/>
        <v>0</v>
      </c>
    </row>
    <row r="38" spans="1:9" ht="15.75" thickBot="1" x14ac:dyDescent="0.25">
      <c r="A38" s="1834"/>
      <c r="B38" s="1835"/>
      <c r="C38" s="1835"/>
      <c r="D38" s="1835"/>
      <c r="E38" s="1835"/>
      <c r="F38" s="1826"/>
      <c r="G38" s="330"/>
      <c r="H38" s="892"/>
      <c r="I38" s="864">
        <f t="shared" si="2"/>
        <v>0</v>
      </c>
    </row>
    <row r="39" spans="1:9" x14ac:dyDescent="0.2">
      <c r="A39" s="331"/>
      <c r="B39" s="332"/>
      <c r="C39" s="332"/>
      <c r="D39" s="332"/>
      <c r="E39" s="332"/>
      <c r="F39" s="332"/>
      <c r="G39" s="332"/>
      <c r="H39" s="865" t="s">
        <v>71</v>
      </c>
      <c r="I39" s="866">
        <f>SUM(I32:I38)</f>
        <v>0</v>
      </c>
    </row>
    <row r="40" spans="1:9" x14ac:dyDescent="0.2">
      <c r="A40" s="230"/>
      <c r="B40" s="235"/>
      <c r="C40" s="235"/>
      <c r="D40" s="235"/>
      <c r="E40" s="235"/>
      <c r="F40" s="235"/>
      <c r="G40" s="235"/>
      <c r="H40" s="826" t="s">
        <v>360</v>
      </c>
      <c r="I40" s="836"/>
    </row>
    <row r="41" spans="1:9" x14ac:dyDescent="0.2">
      <c r="A41" s="253" t="s">
        <v>72</v>
      </c>
      <c r="B41" s="254"/>
      <c r="C41" s="254"/>
      <c r="D41" s="254"/>
      <c r="E41" s="254"/>
      <c r="F41" s="254"/>
      <c r="G41" s="254"/>
      <c r="H41" s="896"/>
      <c r="I41" s="897"/>
    </row>
    <row r="42" spans="1:9" ht="30" x14ac:dyDescent="0.2">
      <c r="A42" s="239" t="s">
        <v>4</v>
      </c>
      <c r="B42" s="240" t="s">
        <v>12</v>
      </c>
      <c r="C42" s="227" t="s">
        <v>73</v>
      </c>
      <c r="D42" s="1836" t="s">
        <v>74</v>
      </c>
      <c r="E42" s="1828"/>
      <c r="F42" s="240" t="s">
        <v>13</v>
      </c>
      <c r="G42" s="240" t="s">
        <v>14</v>
      </c>
      <c r="H42" s="887" t="s">
        <v>5</v>
      </c>
      <c r="I42" s="888" t="s">
        <v>43</v>
      </c>
    </row>
    <row r="43" spans="1:9" x14ac:dyDescent="0.2">
      <c r="A43" s="325"/>
      <c r="B43" s="284"/>
      <c r="C43" s="282"/>
      <c r="D43" s="1837"/>
      <c r="E43" s="1831"/>
      <c r="F43" s="282"/>
      <c r="G43" s="282"/>
      <c r="H43" s="861"/>
      <c r="I43" s="818">
        <f t="shared" ref="I43:I55" si="3">C43*H43</f>
        <v>0</v>
      </c>
    </row>
    <row r="44" spans="1:9" x14ac:dyDescent="0.2">
      <c r="A44" s="256"/>
      <c r="B44" s="251"/>
      <c r="C44" s="251"/>
      <c r="D44" s="1823"/>
      <c r="E44" s="1824"/>
      <c r="F44" s="251"/>
      <c r="G44" s="251"/>
      <c r="H44" s="862"/>
      <c r="I44" s="820">
        <f t="shared" si="3"/>
        <v>0</v>
      </c>
    </row>
    <row r="45" spans="1:9" x14ac:dyDescent="0.2">
      <c r="A45" s="256"/>
      <c r="B45" s="251"/>
      <c r="C45" s="251"/>
      <c r="D45" s="1823"/>
      <c r="E45" s="1824"/>
      <c r="F45" s="251"/>
      <c r="G45" s="251"/>
      <c r="H45" s="862"/>
      <c r="I45" s="820">
        <f t="shared" si="3"/>
        <v>0</v>
      </c>
    </row>
    <row r="46" spans="1:9" x14ac:dyDescent="0.2">
      <c r="A46" s="256"/>
      <c r="B46" s="251"/>
      <c r="C46" s="251"/>
      <c r="D46" s="1823"/>
      <c r="E46" s="1824"/>
      <c r="F46" s="251"/>
      <c r="G46" s="251"/>
      <c r="H46" s="862"/>
      <c r="I46" s="820">
        <f t="shared" si="3"/>
        <v>0</v>
      </c>
    </row>
    <row r="47" spans="1:9" x14ac:dyDescent="0.2">
      <c r="A47" s="256"/>
      <c r="B47" s="251"/>
      <c r="C47" s="251"/>
      <c r="D47" s="1823"/>
      <c r="E47" s="1824"/>
      <c r="F47" s="251"/>
      <c r="G47" s="251"/>
      <c r="H47" s="862"/>
      <c r="I47" s="820">
        <f t="shared" si="3"/>
        <v>0</v>
      </c>
    </row>
    <row r="48" spans="1:9" x14ac:dyDescent="0.2">
      <c r="A48" s="256"/>
      <c r="B48" s="251"/>
      <c r="C48" s="251"/>
      <c r="D48" s="1823"/>
      <c r="E48" s="1824"/>
      <c r="F48" s="251"/>
      <c r="G48" s="251"/>
      <c r="H48" s="862"/>
      <c r="I48" s="820">
        <f t="shared" si="3"/>
        <v>0</v>
      </c>
    </row>
    <row r="49" spans="1:9" x14ac:dyDescent="0.2">
      <c r="A49" s="256"/>
      <c r="B49" s="251"/>
      <c r="C49" s="251"/>
      <c r="D49" s="1823"/>
      <c r="E49" s="1824"/>
      <c r="F49" s="251"/>
      <c r="G49" s="251"/>
      <c r="H49" s="862"/>
      <c r="I49" s="820">
        <f t="shared" si="3"/>
        <v>0</v>
      </c>
    </row>
    <row r="50" spans="1:9" x14ac:dyDescent="0.2">
      <c r="A50" s="256"/>
      <c r="B50" s="251"/>
      <c r="C50" s="251"/>
      <c r="D50" s="1823"/>
      <c r="E50" s="1824"/>
      <c r="F50" s="251"/>
      <c r="G50" s="251"/>
      <c r="H50" s="862"/>
      <c r="I50" s="820">
        <f t="shared" si="3"/>
        <v>0</v>
      </c>
    </row>
    <row r="51" spans="1:9" x14ac:dyDescent="0.2">
      <c r="A51" s="256"/>
      <c r="B51" s="251"/>
      <c r="C51" s="251"/>
      <c r="D51" s="1823"/>
      <c r="E51" s="1824"/>
      <c r="F51" s="251"/>
      <c r="G51" s="251"/>
      <c r="H51" s="862"/>
      <c r="I51" s="820">
        <f t="shared" si="3"/>
        <v>0</v>
      </c>
    </row>
    <row r="52" spans="1:9" x14ac:dyDescent="0.2">
      <c r="A52" s="256"/>
      <c r="B52" s="251"/>
      <c r="C52" s="251"/>
      <c r="D52" s="1823"/>
      <c r="E52" s="1824"/>
      <c r="F52" s="251"/>
      <c r="G52" s="251"/>
      <c r="H52" s="862"/>
      <c r="I52" s="820">
        <f t="shared" si="3"/>
        <v>0</v>
      </c>
    </row>
    <row r="53" spans="1:9" x14ac:dyDescent="0.2">
      <c r="A53" s="256"/>
      <c r="B53" s="251"/>
      <c r="C53" s="251"/>
      <c r="D53" s="1823"/>
      <c r="E53" s="1824"/>
      <c r="F53" s="251"/>
      <c r="G53" s="251"/>
      <c r="H53" s="862"/>
      <c r="I53" s="820">
        <f t="shared" si="3"/>
        <v>0</v>
      </c>
    </row>
    <row r="54" spans="1:9" x14ac:dyDescent="0.2">
      <c r="A54" s="256"/>
      <c r="B54" s="251"/>
      <c r="C54" s="251"/>
      <c r="D54" s="1823"/>
      <c r="E54" s="1824"/>
      <c r="F54" s="251"/>
      <c r="G54" s="251"/>
      <c r="H54" s="862"/>
      <c r="I54" s="820">
        <f t="shared" si="3"/>
        <v>0</v>
      </c>
    </row>
    <row r="55" spans="1:9" ht="15.75" thickBot="1" x14ac:dyDescent="0.25">
      <c r="A55" s="329"/>
      <c r="B55" s="330"/>
      <c r="C55" s="330"/>
      <c r="D55" s="1825"/>
      <c r="E55" s="1826"/>
      <c r="F55" s="330"/>
      <c r="G55" s="330"/>
      <c r="H55" s="863"/>
      <c r="I55" s="864">
        <f t="shared" si="3"/>
        <v>0</v>
      </c>
    </row>
    <row r="56" spans="1:9" x14ac:dyDescent="0.2">
      <c r="A56" s="331"/>
      <c r="B56" s="332"/>
      <c r="C56" s="332"/>
      <c r="D56" s="332"/>
      <c r="E56" s="332"/>
      <c r="F56" s="332"/>
      <c r="G56" s="332"/>
      <c r="H56" s="865" t="s">
        <v>75</v>
      </c>
      <c r="I56" s="866">
        <f>SUM(I43:I55)</f>
        <v>0</v>
      </c>
    </row>
    <row r="57" spans="1:9" x14ac:dyDescent="0.2">
      <c r="A57" s="230"/>
      <c r="B57" s="235"/>
      <c r="C57" s="235"/>
      <c r="D57" s="235"/>
      <c r="E57" s="235"/>
      <c r="F57" s="235"/>
      <c r="G57" s="235"/>
      <c r="H57" s="826" t="s">
        <v>360</v>
      </c>
      <c r="I57" s="836"/>
    </row>
    <row r="58" spans="1:9" ht="15.75" thickBot="1" x14ac:dyDescent="0.25">
      <c r="A58" s="245"/>
      <c r="B58" s="241"/>
      <c r="C58" s="241"/>
      <c r="D58" s="241"/>
      <c r="E58" s="241"/>
      <c r="F58" s="241"/>
      <c r="G58" s="241"/>
      <c r="H58" s="867"/>
      <c r="I58" s="898"/>
    </row>
    <row r="59" spans="1:9" ht="16.5" thickTop="1" thickBot="1" x14ac:dyDescent="0.25">
      <c r="A59" s="810"/>
      <c r="B59" s="244"/>
      <c r="C59" s="244"/>
      <c r="D59" s="244"/>
      <c r="E59" s="244"/>
      <c r="F59" s="244"/>
      <c r="G59" s="244"/>
      <c r="H59" s="884" t="s">
        <v>222</v>
      </c>
      <c r="I59" s="899">
        <f>I56+I39+I28+I15</f>
        <v>0</v>
      </c>
    </row>
    <row r="60" spans="1:9" ht="16.5" thickTop="1" thickBot="1" x14ac:dyDescent="0.25">
      <c r="A60" s="245"/>
      <c r="B60" s="241"/>
      <c r="C60" s="241"/>
      <c r="D60" s="241"/>
      <c r="E60" s="241"/>
      <c r="F60" s="241"/>
      <c r="G60" s="241"/>
      <c r="H60" s="867" t="s">
        <v>360</v>
      </c>
      <c r="I60" s="900">
        <f>I57+I40+I29+I16</f>
        <v>0</v>
      </c>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0">
    <mergeCell ref="A12:F12"/>
    <mergeCell ref="A7:F7"/>
    <mergeCell ref="A8:F8"/>
    <mergeCell ref="A9:F9"/>
    <mergeCell ref="A10:F10"/>
    <mergeCell ref="A11:F11"/>
    <mergeCell ref="A27:E27"/>
    <mergeCell ref="A13:F13"/>
    <mergeCell ref="A14:F14"/>
    <mergeCell ref="A18:E18"/>
    <mergeCell ref="A19:E19"/>
    <mergeCell ref="A20:E20"/>
    <mergeCell ref="A21:E21"/>
    <mergeCell ref="A22:E22"/>
    <mergeCell ref="A23:E23"/>
    <mergeCell ref="A24:E24"/>
    <mergeCell ref="A25:E25"/>
    <mergeCell ref="A26:E26"/>
    <mergeCell ref="D45:E45"/>
    <mergeCell ref="A31:F31"/>
    <mergeCell ref="A32:F32"/>
    <mergeCell ref="A33:F33"/>
    <mergeCell ref="A34:F34"/>
    <mergeCell ref="A35:F35"/>
    <mergeCell ref="A36:F36"/>
    <mergeCell ref="A37:F37"/>
    <mergeCell ref="A38:F38"/>
    <mergeCell ref="D42:E42"/>
    <mergeCell ref="D43:E43"/>
    <mergeCell ref="D44:E44"/>
    <mergeCell ref="D52:E52"/>
    <mergeCell ref="D53:E53"/>
    <mergeCell ref="D54:E54"/>
    <mergeCell ref="D55:E55"/>
    <mergeCell ref="D46:E46"/>
    <mergeCell ref="D47:E47"/>
    <mergeCell ref="D48:E48"/>
    <mergeCell ref="D49:E49"/>
    <mergeCell ref="D50:E50"/>
    <mergeCell ref="D51:E51"/>
  </mergeCells>
  <phoneticPr fontId="0" type="noConversion"/>
  <printOptions horizontalCentered="1"/>
  <pageMargins left="0.59055118110236227" right="0.47244094488188981" top="0.78740157480314965" bottom="0.78740157480314965" header="0.51181102362204722" footer="0.51181102362204722"/>
  <pageSetup paperSize="9" scale="70"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K70"/>
  <sheetViews>
    <sheetView tabSelected="1" zoomScaleNormal="100" zoomScaleSheetLayoutView="90" workbookViewId="0">
      <selection activeCell="I8" sqref="I8"/>
    </sheetView>
  </sheetViews>
  <sheetFormatPr defaultRowHeight="15" x14ac:dyDescent="0.2"/>
  <cols>
    <col min="1" max="1" width="10.5546875" customWidth="1"/>
    <col min="2" max="2" width="13.109375" customWidth="1"/>
    <col min="3" max="3" width="19.109375" customWidth="1"/>
    <col min="4" max="4" width="10.77734375" customWidth="1"/>
    <col min="5" max="5" width="13.77734375" customWidth="1"/>
    <col min="6" max="6" width="11" customWidth="1"/>
    <col min="7" max="7" width="9.44140625" bestFit="1" customWidth="1"/>
    <col min="8" max="8" width="11.77734375" customWidth="1"/>
  </cols>
  <sheetData>
    <row r="1" spans="1:8" ht="18.75" thickTop="1" x14ac:dyDescent="0.2">
      <c r="A1" s="1108" t="s">
        <v>76</v>
      </c>
      <c r="B1" s="222"/>
      <c r="C1" s="222"/>
      <c r="D1" s="222"/>
      <c r="E1" s="222"/>
      <c r="F1" s="222"/>
      <c r="G1" s="222"/>
      <c r="H1" s="223"/>
    </row>
    <row r="2" spans="1:8" ht="15.75" x14ac:dyDescent="0.2">
      <c r="A2" s="258" t="s">
        <v>218</v>
      </c>
      <c r="B2" s="124"/>
      <c r="C2" s="124"/>
      <c r="D2" s="2"/>
      <c r="E2" s="279" t="s">
        <v>225</v>
      </c>
      <c r="F2" s="279"/>
      <c r="G2" s="124"/>
      <c r="H2" s="130"/>
    </row>
    <row r="3" spans="1:8" ht="16.5" thickBot="1" x14ac:dyDescent="0.25">
      <c r="A3" s="1838" t="s">
        <v>359</v>
      </c>
      <c r="B3" s="1839"/>
      <c r="C3" s="1457">
        <f>'Input Data'!$D$28</f>
        <v>0</v>
      </c>
      <c r="D3" s="259"/>
      <c r="E3" s="1462" t="s">
        <v>298</v>
      </c>
      <c r="F3" s="1458">
        <f>'Input Data'!$D$5</f>
        <v>0</v>
      </c>
      <c r="G3" s="139"/>
      <c r="H3" s="200"/>
    </row>
    <row r="4" spans="1:8" ht="15.75" thickTop="1" x14ac:dyDescent="0.2">
      <c r="A4" s="247"/>
      <c r="B4" s="231"/>
      <c r="C4" s="207"/>
      <c r="D4" s="207"/>
      <c r="E4" s="207"/>
      <c r="F4" s="124"/>
      <c r="G4" s="124"/>
      <c r="H4" s="130"/>
    </row>
    <row r="5" spans="1:8" x14ac:dyDescent="0.2">
      <c r="A5" s="253" t="s">
        <v>77</v>
      </c>
      <c r="B5" s="224"/>
      <c r="C5" s="224"/>
      <c r="D5" s="224"/>
      <c r="E5" s="224"/>
      <c r="F5" s="224"/>
      <c r="G5" s="224"/>
      <c r="H5" s="225"/>
    </row>
    <row r="6" spans="1:8" ht="30" x14ac:dyDescent="0.2">
      <c r="A6" s="226" t="s">
        <v>78</v>
      </c>
      <c r="B6" s="227" t="s">
        <v>40</v>
      </c>
      <c r="C6" s="238" t="s">
        <v>26</v>
      </c>
      <c r="D6" s="260"/>
      <c r="E6" s="227" t="s">
        <v>138</v>
      </c>
      <c r="F6" s="227" t="s">
        <v>79</v>
      </c>
      <c r="G6" s="227" t="s">
        <v>5</v>
      </c>
      <c r="H6" s="228" t="s">
        <v>8</v>
      </c>
    </row>
    <row r="7" spans="1:8" x14ac:dyDescent="0.2">
      <c r="A7" s="325"/>
      <c r="B7" s="282"/>
      <c r="C7" s="287"/>
      <c r="D7" s="288"/>
      <c r="E7" s="282"/>
      <c r="F7" s="282"/>
      <c r="G7" s="861"/>
      <c r="H7" s="818">
        <f>F7*G7</f>
        <v>0</v>
      </c>
    </row>
    <row r="8" spans="1:8" x14ac:dyDescent="0.2">
      <c r="A8" s="256"/>
      <c r="B8" s="251"/>
      <c r="C8" s="257"/>
      <c r="D8" s="250"/>
      <c r="E8" s="251"/>
      <c r="F8" s="251"/>
      <c r="G8" s="862"/>
      <c r="H8" s="820">
        <f t="shared" ref="H8:H16" si="0">F8*G8</f>
        <v>0</v>
      </c>
    </row>
    <row r="9" spans="1:8" x14ac:dyDescent="0.2">
      <c r="A9" s="256"/>
      <c r="B9" s="251"/>
      <c r="C9" s="257"/>
      <c r="D9" s="250"/>
      <c r="E9" s="251"/>
      <c r="F9" s="251"/>
      <c r="G9" s="862"/>
      <c r="H9" s="820">
        <f t="shared" si="0"/>
        <v>0</v>
      </c>
    </row>
    <row r="10" spans="1:8" x14ac:dyDescent="0.2">
      <c r="A10" s="256"/>
      <c r="B10" s="251"/>
      <c r="C10" s="257"/>
      <c r="D10" s="250"/>
      <c r="E10" s="251"/>
      <c r="F10" s="251"/>
      <c r="G10" s="862"/>
      <c r="H10" s="820">
        <f t="shared" si="0"/>
        <v>0</v>
      </c>
    </row>
    <row r="11" spans="1:8" x14ac:dyDescent="0.2">
      <c r="A11" s="256"/>
      <c r="B11" s="251"/>
      <c r="C11" s="257"/>
      <c r="D11" s="250"/>
      <c r="E11" s="251"/>
      <c r="F11" s="251"/>
      <c r="G11" s="862"/>
      <c r="H11" s="820">
        <f t="shared" si="0"/>
        <v>0</v>
      </c>
    </row>
    <row r="12" spans="1:8" x14ac:dyDescent="0.2">
      <c r="A12" s="256"/>
      <c r="B12" s="251"/>
      <c r="C12" s="257"/>
      <c r="D12" s="250"/>
      <c r="E12" s="251"/>
      <c r="F12" s="251"/>
      <c r="G12" s="862"/>
      <c r="H12" s="820">
        <f t="shared" si="0"/>
        <v>0</v>
      </c>
    </row>
    <row r="13" spans="1:8" x14ac:dyDescent="0.2">
      <c r="A13" s="256"/>
      <c r="B13" s="251"/>
      <c r="C13" s="257"/>
      <c r="D13" s="250"/>
      <c r="E13" s="251"/>
      <c r="F13" s="251"/>
      <c r="G13" s="862"/>
      <c r="H13" s="820">
        <f t="shared" si="0"/>
        <v>0</v>
      </c>
    </row>
    <row r="14" spans="1:8" x14ac:dyDescent="0.2">
      <c r="A14" s="256"/>
      <c r="B14" s="251"/>
      <c r="C14" s="257"/>
      <c r="D14" s="250"/>
      <c r="E14" s="251"/>
      <c r="F14" s="251"/>
      <c r="G14" s="862"/>
      <c r="H14" s="820">
        <f t="shared" si="0"/>
        <v>0</v>
      </c>
    </row>
    <row r="15" spans="1:8" x14ac:dyDescent="0.2">
      <c r="A15" s="256"/>
      <c r="B15" s="251"/>
      <c r="C15" s="257"/>
      <c r="D15" s="250"/>
      <c r="E15" s="251"/>
      <c r="F15" s="251"/>
      <c r="G15" s="862"/>
      <c r="H15" s="820">
        <f t="shared" si="0"/>
        <v>0</v>
      </c>
    </row>
    <row r="16" spans="1:8" ht="15.75" thickBot="1" x14ac:dyDescent="0.25">
      <c r="A16" s="346"/>
      <c r="B16" s="347"/>
      <c r="C16" s="348"/>
      <c r="D16" s="349"/>
      <c r="E16" s="347"/>
      <c r="F16" s="347"/>
      <c r="G16" s="901"/>
      <c r="H16" s="823">
        <f t="shared" si="0"/>
        <v>0</v>
      </c>
    </row>
    <row r="17" spans="1:11" ht="15.75" thickBot="1" x14ac:dyDescent="0.25">
      <c r="A17" s="331"/>
      <c r="B17" s="332"/>
      <c r="C17" s="332"/>
      <c r="D17" s="332"/>
      <c r="E17" s="332"/>
      <c r="F17" s="332"/>
      <c r="G17" s="865" t="s">
        <v>80</v>
      </c>
      <c r="H17" s="902">
        <f>SUM(H7:H16)</f>
        <v>0</v>
      </c>
    </row>
    <row r="18" spans="1:11" ht="15.75" thickTop="1" x14ac:dyDescent="0.2">
      <c r="A18" s="128"/>
      <c r="B18" s="124"/>
      <c r="C18" s="124"/>
      <c r="D18" s="124"/>
      <c r="E18" s="124"/>
      <c r="F18" s="124"/>
      <c r="G18" s="826" t="s">
        <v>360</v>
      </c>
      <c r="H18" s="903"/>
    </row>
    <row r="19" spans="1:11" x14ac:dyDescent="0.2">
      <c r="A19" s="253" t="s">
        <v>81</v>
      </c>
      <c r="B19" s="229"/>
      <c r="C19" s="229"/>
      <c r="D19" s="229"/>
      <c r="E19" s="229"/>
      <c r="F19" s="229"/>
      <c r="G19" s="904"/>
      <c r="H19" s="893"/>
    </row>
    <row r="20" spans="1:11" ht="45" x14ac:dyDescent="0.2">
      <c r="A20" s="226" t="s">
        <v>4</v>
      </c>
      <c r="B20" s="238" t="s">
        <v>40</v>
      </c>
      <c r="C20" s="263"/>
      <c r="D20" s="238" t="s">
        <v>26</v>
      </c>
      <c r="E20" s="260"/>
      <c r="F20" s="227" t="s">
        <v>82</v>
      </c>
      <c r="G20" s="875" t="s">
        <v>83</v>
      </c>
      <c r="H20" s="888" t="s">
        <v>8</v>
      </c>
    </row>
    <row r="21" spans="1:11" x14ac:dyDescent="0.2">
      <c r="A21" s="255"/>
      <c r="B21" s="261"/>
      <c r="C21" s="264"/>
      <c r="D21" s="261"/>
      <c r="E21" s="262"/>
      <c r="F21" s="265"/>
      <c r="G21" s="1465">
        <v>0</v>
      </c>
      <c r="H21" s="905">
        <f t="shared" ref="H21:H30" si="1">F21*G21</f>
        <v>0</v>
      </c>
    </row>
    <row r="22" spans="1:11" x14ac:dyDescent="0.2">
      <c r="A22" s="256"/>
      <c r="B22" s="257"/>
      <c r="C22" s="249"/>
      <c r="D22" s="257"/>
      <c r="E22" s="250"/>
      <c r="F22" s="251"/>
      <c r="G22" s="1464"/>
      <c r="H22" s="906">
        <f t="shared" si="1"/>
        <v>0</v>
      </c>
    </row>
    <row r="23" spans="1:11" x14ac:dyDescent="0.2">
      <c r="A23" s="256"/>
      <c r="B23" s="257"/>
      <c r="C23" s="249"/>
      <c r="D23" s="257"/>
      <c r="E23" s="250"/>
      <c r="F23" s="251"/>
      <c r="G23" s="1464"/>
      <c r="H23" s="906">
        <f t="shared" si="1"/>
        <v>0</v>
      </c>
    </row>
    <row r="24" spans="1:11" x14ac:dyDescent="0.2">
      <c r="A24" s="256"/>
      <c r="B24" s="257"/>
      <c r="C24" s="249"/>
      <c r="D24" s="257"/>
      <c r="E24" s="250"/>
      <c r="F24" s="251"/>
      <c r="G24" s="1464"/>
      <c r="H24" s="906">
        <f t="shared" si="1"/>
        <v>0</v>
      </c>
    </row>
    <row r="25" spans="1:11" x14ac:dyDescent="0.2">
      <c r="A25" s="256"/>
      <c r="B25" s="257"/>
      <c r="C25" s="249"/>
      <c r="D25" s="257"/>
      <c r="E25" s="250"/>
      <c r="F25" s="251"/>
      <c r="G25" s="1464"/>
      <c r="H25" s="906">
        <f t="shared" si="1"/>
        <v>0</v>
      </c>
    </row>
    <row r="26" spans="1:11" x14ac:dyDescent="0.2">
      <c r="A26" s="256"/>
      <c r="B26" s="257"/>
      <c r="C26" s="249"/>
      <c r="D26" s="257"/>
      <c r="E26" s="250"/>
      <c r="F26" s="251"/>
      <c r="G26" s="1464"/>
      <c r="H26" s="906">
        <f t="shared" si="1"/>
        <v>0</v>
      </c>
    </row>
    <row r="27" spans="1:11" x14ac:dyDescent="0.2">
      <c r="A27" s="256"/>
      <c r="B27" s="257"/>
      <c r="C27" s="249"/>
      <c r="D27" s="257"/>
      <c r="E27" s="250"/>
      <c r="F27" s="251"/>
      <c r="G27" s="1464"/>
      <c r="H27" s="906">
        <f t="shared" si="1"/>
        <v>0</v>
      </c>
      <c r="K27" s="375"/>
    </row>
    <row r="28" spans="1:11" x14ac:dyDescent="0.2">
      <c r="A28" s="256"/>
      <c r="B28" s="257"/>
      <c r="C28" s="249"/>
      <c r="D28" s="257"/>
      <c r="E28" s="250"/>
      <c r="F28" s="251"/>
      <c r="G28" s="1464"/>
      <c r="H28" s="906">
        <f t="shared" si="1"/>
        <v>0</v>
      </c>
    </row>
    <row r="29" spans="1:11" x14ac:dyDescent="0.2">
      <c r="A29" s="256"/>
      <c r="B29" s="257"/>
      <c r="C29" s="249"/>
      <c r="D29" s="257"/>
      <c r="E29" s="250"/>
      <c r="F29" s="251"/>
      <c r="G29" s="1464"/>
      <c r="H29" s="906">
        <f t="shared" si="1"/>
        <v>0</v>
      </c>
    </row>
    <row r="30" spans="1:11" ht="15.75" thickBot="1" x14ac:dyDescent="0.25">
      <c r="A30" s="346"/>
      <c r="B30" s="348"/>
      <c r="C30" s="350"/>
      <c r="D30" s="348"/>
      <c r="E30" s="349"/>
      <c r="F30" s="347"/>
      <c r="G30" s="1466"/>
      <c r="H30" s="907">
        <f t="shared" si="1"/>
        <v>0</v>
      </c>
    </row>
    <row r="31" spans="1:11" ht="15.75" thickBot="1" x14ac:dyDescent="0.25">
      <c r="A31" s="331"/>
      <c r="B31" s="332"/>
      <c r="C31" s="332"/>
      <c r="D31" s="332"/>
      <c r="E31" s="332"/>
      <c r="F31" s="332"/>
      <c r="G31" s="865" t="s">
        <v>84</v>
      </c>
      <c r="H31" s="902">
        <f>SUM(H21:H30)</f>
        <v>0</v>
      </c>
    </row>
    <row r="32" spans="1:11" ht="15.75" thickTop="1" x14ac:dyDescent="0.2">
      <c r="A32" s="230"/>
      <c r="B32" s="235"/>
      <c r="C32" s="235"/>
      <c r="D32" s="235"/>
      <c r="E32" s="235"/>
      <c r="F32" s="235"/>
      <c r="G32" s="826" t="s">
        <v>360</v>
      </c>
      <c r="H32" s="903"/>
    </row>
    <row r="33" spans="1:8" x14ac:dyDescent="0.2">
      <c r="A33" s="253" t="s">
        <v>85</v>
      </c>
      <c r="B33" s="224"/>
      <c r="C33" s="224"/>
      <c r="D33" s="224"/>
      <c r="E33" s="224"/>
      <c r="F33" s="224"/>
      <c r="G33" s="877"/>
      <c r="H33" s="895"/>
    </row>
    <row r="34" spans="1:8" ht="45" x14ac:dyDescent="0.2">
      <c r="A34" s="226" t="s">
        <v>4</v>
      </c>
      <c r="B34" s="237" t="s">
        <v>40</v>
      </c>
      <c r="C34" s="260"/>
      <c r="D34" s="227" t="s">
        <v>86</v>
      </c>
      <c r="E34" s="227" t="s">
        <v>87</v>
      </c>
      <c r="F34" s="227" t="s">
        <v>88</v>
      </c>
      <c r="G34" s="875" t="s">
        <v>89</v>
      </c>
      <c r="H34" s="888" t="s">
        <v>8</v>
      </c>
    </row>
    <row r="35" spans="1:8" x14ac:dyDescent="0.2">
      <c r="A35" s="345"/>
      <c r="B35" s="289"/>
      <c r="C35" s="290"/>
      <c r="D35" s="366"/>
      <c r="E35" s="366"/>
      <c r="F35" s="281"/>
      <c r="G35" s="889"/>
      <c r="H35" s="908">
        <f>G35*E35</f>
        <v>0</v>
      </c>
    </row>
    <row r="36" spans="1:8" x14ac:dyDescent="0.2">
      <c r="A36" s="256"/>
      <c r="B36" s="257"/>
      <c r="C36" s="250"/>
      <c r="D36" s="363"/>
      <c r="E36" s="363"/>
      <c r="F36" s="251"/>
      <c r="G36" s="891"/>
      <c r="H36" s="909">
        <f t="shared" ref="H36:H41" si="2">G36*E36</f>
        <v>0</v>
      </c>
    </row>
    <row r="37" spans="1:8" x14ac:dyDescent="0.2">
      <c r="A37" s="256"/>
      <c r="B37" s="257"/>
      <c r="C37" s="250"/>
      <c r="D37" s="363"/>
      <c r="E37" s="363"/>
      <c r="F37" s="251"/>
      <c r="G37" s="891"/>
      <c r="H37" s="909">
        <f t="shared" si="2"/>
        <v>0</v>
      </c>
    </row>
    <row r="38" spans="1:8" x14ac:dyDescent="0.2">
      <c r="A38" s="256"/>
      <c r="B38" s="257"/>
      <c r="C38" s="250"/>
      <c r="D38" s="363"/>
      <c r="E38" s="363"/>
      <c r="F38" s="251"/>
      <c r="G38" s="891"/>
      <c r="H38" s="909">
        <f t="shared" si="2"/>
        <v>0</v>
      </c>
    </row>
    <row r="39" spans="1:8" x14ac:dyDescent="0.2">
      <c r="A39" s="256"/>
      <c r="B39" s="257"/>
      <c r="C39" s="250"/>
      <c r="D39" s="363"/>
      <c r="E39" s="363"/>
      <c r="F39" s="251"/>
      <c r="G39" s="891"/>
      <c r="H39" s="909">
        <f t="shared" si="2"/>
        <v>0</v>
      </c>
    </row>
    <row r="40" spans="1:8" x14ac:dyDescent="0.2">
      <c r="A40" s="256"/>
      <c r="B40" s="257"/>
      <c r="C40" s="250"/>
      <c r="D40" s="363"/>
      <c r="E40" s="363"/>
      <c r="F40" s="251"/>
      <c r="G40" s="891"/>
      <c r="H40" s="909">
        <f t="shared" si="2"/>
        <v>0</v>
      </c>
    </row>
    <row r="41" spans="1:8" x14ac:dyDescent="0.2">
      <c r="A41" s="256"/>
      <c r="B41" s="257"/>
      <c r="C41" s="250"/>
      <c r="D41" s="363"/>
      <c r="E41" s="363"/>
      <c r="F41" s="251"/>
      <c r="G41" s="891"/>
      <c r="H41" s="909">
        <f t="shared" si="2"/>
        <v>0</v>
      </c>
    </row>
    <row r="42" spans="1:8" x14ac:dyDescent="0.2">
      <c r="A42" s="256"/>
      <c r="B42" s="257"/>
      <c r="C42" s="250"/>
      <c r="D42" s="363"/>
      <c r="E42" s="363"/>
      <c r="F42" s="251"/>
      <c r="G42" s="891"/>
      <c r="H42" s="909">
        <f>G42*E42</f>
        <v>0</v>
      </c>
    </row>
    <row r="43" spans="1:8" x14ac:dyDescent="0.2">
      <c r="A43" s="256"/>
      <c r="B43" s="257"/>
      <c r="C43" s="250"/>
      <c r="D43" s="363"/>
      <c r="E43" s="363"/>
      <c r="F43" s="251"/>
      <c r="G43" s="891"/>
      <c r="H43" s="909">
        <f>G43*E43</f>
        <v>0</v>
      </c>
    </row>
    <row r="44" spans="1:8" ht="15.75" thickBot="1" x14ac:dyDescent="0.25">
      <c r="A44" s="329"/>
      <c r="B44" s="335"/>
      <c r="C44" s="337"/>
      <c r="D44" s="364"/>
      <c r="E44" s="364"/>
      <c r="F44" s="330"/>
      <c r="G44" s="892"/>
      <c r="H44" s="910">
        <f>G44*E44</f>
        <v>0</v>
      </c>
    </row>
    <row r="45" spans="1:8" ht="15.75" thickBot="1" x14ac:dyDescent="0.25">
      <c r="A45" s="331"/>
      <c r="B45" s="332"/>
      <c r="C45" s="332"/>
      <c r="D45" s="332"/>
      <c r="E45" s="332"/>
      <c r="F45" s="332"/>
      <c r="G45" s="865" t="s">
        <v>226</v>
      </c>
      <c r="H45" s="911">
        <f>SUM(H35:H44)</f>
        <v>0</v>
      </c>
    </row>
    <row r="46" spans="1:8" ht="15.75" thickTop="1" x14ac:dyDescent="0.2">
      <c r="A46" s="128"/>
      <c r="B46" s="124"/>
      <c r="C46" s="124"/>
      <c r="D46" s="124"/>
      <c r="E46" s="124"/>
      <c r="F46" s="124"/>
      <c r="G46" s="826" t="s">
        <v>360</v>
      </c>
      <c r="H46" s="903"/>
    </row>
    <row r="47" spans="1:8" x14ac:dyDescent="0.2">
      <c r="A47" s="253" t="s">
        <v>90</v>
      </c>
      <c r="B47" s="224"/>
      <c r="C47" s="224"/>
      <c r="D47" s="224"/>
      <c r="E47" s="224"/>
      <c r="F47" s="224"/>
      <c r="G47" s="877"/>
      <c r="H47" s="895"/>
    </row>
    <row r="48" spans="1:8" ht="45" x14ac:dyDescent="0.2">
      <c r="A48" s="239" t="s">
        <v>4</v>
      </c>
      <c r="B48" s="237" t="s">
        <v>33</v>
      </c>
      <c r="C48" s="266"/>
      <c r="D48" s="227" t="s">
        <v>91</v>
      </c>
      <c r="E48" s="227" t="s">
        <v>92</v>
      </c>
      <c r="F48" s="227" t="s">
        <v>93</v>
      </c>
      <c r="G48" s="875" t="s">
        <v>94</v>
      </c>
      <c r="H48" s="888" t="s">
        <v>43</v>
      </c>
    </row>
    <row r="49" spans="1:8" x14ac:dyDescent="0.2">
      <c r="A49" s="255"/>
      <c r="B49" s="261"/>
      <c r="C49" s="267"/>
      <c r="D49" s="252"/>
      <c r="E49" s="252"/>
      <c r="F49" s="252"/>
      <c r="G49" s="912"/>
      <c r="H49" s="913">
        <f>G49*F49</f>
        <v>0</v>
      </c>
    </row>
    <row r="50" spans="1:8" x14ac:dyDescent="0.2">
      <c r="A50" s="256"/>
      <c r="B50" s="257"/>
      <c r="C50" s="268"/>
      <c r="D50" s="257"/>
      <c r="E50" s="251"/>
      <c r="F50" s="251"/>
      <c r="G50" s="891"/>
      <c r="H50" s="909"/>
    </row>
    <row r="51" spans="1:8" x14ac:dyDescent="0.2">
      <c r="A51" s="256"/>
      <c r="B51" s="257"/>
      <c r="C51" s="268"/>
      <c r="D51" s="257"/>
      <c r="E51" s="251"/>
      <c r="F51" s="251"/>
      <c r="G51" s="891"/>
      <c r="H51" s="909"/>
    </row>
    <row r="52" spans="1:8" x14ac:dyDescent="0.2">
      <c r="A52" s="256"/>
      <c r="B52" s="257"/>
      <c r="C52" s="268"/>
      <c r="D52" s="257"/>
      <c r="E52" s="251"/>
      <c r="F52" s="251"/>
      <c r="G52" s="891"/>
      <c r="H52" s="909"/>
    </row>
    <row r="53" spans="1:8" x14ac:dyDescent="0.2">
      <c r="A53" s="256"/>
      <c r="B53" s="257"/>
      <c r="C53" s="268"/>
      <c r="D53" s="257"/>
      <c r="E53" s="251"/>
      <c r="F53" s="251"/>
      <c r="G53" s="891"/>
      <c r="H53" s="909"/>
    </row>
    <row r="54" spans="1:8" x14ac:dyDescent="0.2">
      <c r="A54" s="256"/>
      <c r="B54" s="257"/>
      <c r="C54" s="268"/>
      <c r="D54" s="257"/>
      <c r="E54" s="251"/>
      <c r="F54" s="251"/>
      <c r="G54" s="891"/>
      <c r="H54" s="909"/>
    </row>
    <row r="55" spans="1:8" ht="15.75" thickBot="1" x14ac:dyDescent="0.25">
      <c r="A55" s="346"/>
      <c r="B55" s="348"/>
      <c r="C55" s="351"/>
      <c r="D55" s="348"/>
      <c r="E55" s="330"/>
      <c r="F55" s="347"/>
      <c r="G55" s="914"/>
      <c r="H55" s="915"/>
    </row>
    <row r="56" spans="1:8" ht="15.75" thickBot="1" x14ac:dyDescent="0.25">
      <c r="A56" s="331"/>
      <c r="B56" s="332"/>
      <c r="C56" s="332"/>
      <c r="D56" s="332"/>
      <c r="E56" s="352"/>
      <c r="F56" s="332"/>
      <c r="G56" s="865" t="s">
        <v>95</v>
      </c>
      <c r="H56" s="902">
        <f>SUM(H49:H55)</f>
        <v>0</v>
      </c>
    </row>
    <row r="57" spans="1:8" ht="16.5" thickTop="1" thickBot="1" x14ac:dyDescent="0.25">
      <c r="A57" s="230"/>
      <c r="B57" s="235"/>
      <c r="C57" s="235"/>
      <c r="D57" s="235"/>
      <c r="E57" s="272"/>
      <c r="F57" s="235"/>
      <c r="G57" s="826" t="s">
        <v>360</v>
      </c>
      <c r="H57" s="903"/>
    </row>
    <row r="58" spans="1:8" x14ac:dyDescent="0.2">
      <c r="A58" s="526"/>
      <c r="B58" s="527"/>
      <c r="C58" s="527"/>
      <c r="D58" s="527"/>
      <c r="E58" s="527"/>
      <c r="F58" s="527"/>
      <c r="G58" s="916" t="s">
        <v>289</v>
      </c>
      <c r="H58" s="840">
        <f>(H17+IF(AND(H31&gt;0,H17&gt;0),0,H31)+H45+H56)*1.14</f>
        <v>0</v>
      </c>
    </row>
    <row r="59" spans="1:8" ht="15.75" thickBot="1" x14ac:dyDescent="0.25">
      <c r="A59" s="245"/>
      <c r="B59" s="241"/>
      <c r="C59" s="241"/>
      <c r="D59" s="241"/>
      <c r="E59" s="241"/>
      <c r="F59" s="241"/>
      <c r="G59" s="883" t="s">
        <v>360</v>
      </c>
      <c r="H59" s="917">
        <f>H18+IF(AND(H32&gt;0,H18&gt;0),0,H32)+H46+H57</f>
        <v>0</v>
      </c>
    </row>
    <row r="60" spans="1:8" ht="15.75" thickTop="1" x14ac:dyDescent="0.2">
      <c r="A60" s="269" t="str">
        <f>IF(AND(H31&gt;0,H17&gt;0),"You cannot claim for both Part Time and Full Time supervision","")</f>
        <v/>
      </c>
      <c r="B60" s="243"/>
      <c r="C60" s="243"/>
      <c r="D60" s="243"/>
      <c r="E60" s="243"/>
      <c r="F60" s="243"/>
      <c r="G60" s="884" t="s">
        <v>223</v>
      </c>
      <c r="H60" s="918">
        <f>H58/1.14</f>
        <v>0</v>
      </c>
    </row>
    <row r="61" spans="1:8" ht="15.75" thickBot="1" x14ac:dyDescent="0.25">
      <c r="A61" s="245"/>
      <c r="B61" s="241"/>
      <c r="C61" s="241"/>
      <c r="D61" s="241"/>
      <c r="E61" s="241"/>
      <c r="F61" s="241"/>
      <c r="G61" s="867" t="s">
        <v>360</v>
      </c>
      <c r="H61" s="919">
        <f>H59/1.14</f>
        <v>0</v>
      </c>
    </row>
    <row r="62" spans="1:8" ht="15.75" thickTop="1" x14ac:dyDescent="0.2">
      <c r="H62" s="221"/>
    </row>
    <row r="63" spans="1:8" x14ac:dyDescent="0.2">
      <c r="H63" s="221"/>
    </row>
    <row r="64" spans="1:8" x14ac:dyDescent="0.2">
      <c r="H64" s="221"/>
    </row>
    <row r="65" spans="8:8" x14ac:dyDescent="0.2">
      <c r="H65" s="221"/>
    </row>
    <row r="66" spans="8:8" x14ac:dyDescent="0.2">
      <c r="H66" s="221"/>
    </row>
    <row r="67" spans="8:8" x14ac:dyDescent="0.2">
      <c r="H67" s="221"/>
    </row>
    <row r="68" spans="8:8" x14ac:dyDescent="0.2">
      <c r="H68" s="221"/>
    </row>
    <row r="69" spans="8:8" x14ac:dyDescent="0.2">
      <c r="H69" s="221"/>
    </row>
    <row r="70" spans="8:8" x14ac:dyDescent="0.2">
      <c r="H70" s="221"/>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0" type="noConversion"/>
  <printOptions horizontalCentered="1"/>
  <pageMargins left="0.74803149606299213" right="0.55118110236220474" top="0.78740157480314965" bottom="0.78740157480314965" header="0.51181102362204722" footer="0.51181102362204722"/>
  <pageSetup paperSize="9" scale="67" orientation="portrait" horizontalDpi="300" verticalDpi="300"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topLeftCell="A4" zoomScaleNormal="100" workbookViewId="0">
      <selection activeCell="H18" sqref="H18"/>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114"/>
      <c r="B1" s="1115"/>
      <c r="C1" s="1115"/>
      <c r="D1" s="1115"/>
      <c r="E1" s="1115"/>
      <c r="F1" s="1115"/>
      <c r="G1" s="1115"/>
      <c r="H1" s="1115"/>
      <c r="I1" s="1115"/>
      <c r="J1" s="1115"/>
      <c r="K1" s="1115" t="s">
        <v>464</v>
      </c>
      <c r="L1" s="1116"/>
    </row>
    <row r="2" spans="1:12" ht="15.75" x14ac:dyDescent="0.25">
      <c r="A2" s="1117"/>
      <c r="B2" s="1118"/>
      <c r="C2" s="1118"/>
      <c r="D2" s="1118"/>
      <c r="E2" s="1118"/>
      <c r="F2" s="1119" t="s">
        <v>465</v>
      </c>
      <c r="G2" s="1118"/>
      <c r="H2" s="1118"/>
      <c r="I2" s="1118"/>
      <c r="J2" s="1118"/>
      <c r="K2" s="1118"/>
      <c r="L2" s="1120"/>
    </row>
    <row r="3" spans="1:12" x14ac:dyDescent="0.2">
      <c r="A3" s="1117"/>
      <c r="B3" s="1118"/>
      <c r="C3" s="1118"/>
      <c r="D3" s="1118"/>
      <c r="E3" s="1118"/>
      <c r="F3" s="1118"/>
      <c r="G3" s="1118"/>
      <c r="H3" s="1118"/>
      <c r="I3" s="1118"/>
      <c r="J3" s="1118"/>
      <c r="K3" s="1118"/>
      <c r="L3" s="1121"/>
    </row>
    <row r="4" spans="1:12" x14ac:dyDescent="0.2">
      <c r="A4" s="1117"/>
      <c r="B4" s="1118"/>
      <c r="C4" s="1118"/>
      <c r="D4" s="1118"/>
      <c r="E4" s="1118"/>
      <c r="F4" s="1122" t="s">
        <v>466</v>
      </c>
      <c r="G4" s="1123"/>
      <c r="H4" s="1118"/>
      <c r="I4" s="1118"/>
      <c r="J4" s="1124" t="s">
        <v>4</v>
      </c>
      <c r="K4" s="1118" t="s">
        <v>467</v>
      </c>
      <c r="L4" s="1125"/>
    </row>
    <row r="5" spans="1:12" x14ac:dyDescent="0.2">
      <c r="A5" s="1117"/>
      <c r="B5" s="1118"/>
      <c r="C5" s="1118"/>
      <c r="D5" s="1118"/>
      <c r="E5" s="1118"/>
      <c r="F5" s="1118"/>
      <c r="G5" s="1118"/>
      <c r="H5" s="1118"/>
      <c r="I5" s="1118"/>
      <c r="J5" s="1118"/>
      <c r="K5" s="1118"/>
      <c r="L5" s="1126"/>
    </row>
    <row r="6" spans="1:12" x14ac:dyDescent="0.2">
      <c r="A6" s="1117"/>
      <c r="B6" s="1127" t="s">
        <v>468</v>
      </c>
      <c r="C6" s="1118"/>
      <c r="D6" s="1127" t="s">
        <v>467</v>
      </c>
      <c r="E6" s="1852"/>
      <c r="F6" s="1853"/>
      <c r="G6" s="1853"/>
      <c r="H6" s="1853"/>
      <c r="I6" s="1853"/>
      <c r="J6" s="1853"/>
      <c r="K6" s="1853"/>
      <c r="L6" s="1854"/>
    </row>
    <row r="7" spans="1:12" x14ac:dyDescent="0.2">
      <c r="A7" s="1117"/>
      <c r="B7" s="1127"/>
      <c r="C7" s="1118"/>
      <c r="D7" s="1127"/>
      <c r="E7" s="1855"/>
      <c r="F7" s="1855"/>
      <c r="G7" s="1855"/>
      <c r="H7" s="1855"/>
      <c r="I7" s="1855"/>
      <c r="J7" s="1855"/>
      <c r="K7" s="1855"/>
      <c r="L7" s="1856"/>
    </row>
    <row r="8" spans="1:12" x14ac:dyDescent="0.2">
      <c r="A8" s="1117"/>
      <c r="B8" s="1127"/>
      <c r="C8" s="1118"/>
      <c r="D8" s="1127"/>
      <c r="E8" s="1128"/>
      <c r="F8" s="1129"/>
      <c r="G8" s="1129"/>
      <c r="H8" s="1129"/>
      <c r="I8" s="1129"/>
      <c r="J8" s="1129"/>
      <c r="K8" s="1129"/>
      <c r="L8" s="1130"/>
    </row>
    <row r="9" spans="1:12" x14ac:dyDescent="0.2">
      <c r="A9" s="1117"/>
      <c r="B9" s="1118"/>
      <c r="C9" s="1118"/>
      <c r="D9" s="1118"/>
      <c r="E9" s="1131" t="s">
        <v>469</v>
      </c>
      <c r="F9" s="1132"/>
      <c r="G9" s="1133"/>
      <c r="H9" s="146"/>
      <c r="I9" s="1133"/>
      <c r="K9" s="1133"/>
      <c r="L9" s="1126"/>
    </row>
    <row r="10" spans="1:12" x14ac:dyDescent="0.2">
      <c r="A10" s="1117"/>
      <c r="B10" s="1118"/>
      <c r="C10" s="1134"/>
      <c r="D10" s="1118"/>
      <c r="E10" s="1135"/>
      <c r="F10" s="1136"/>
      <c r="G10" s="1136"/>
      <c r="H10" s="1136"/>
      <c r="I10" s="1136"/>
      <c r="J10" s="1136"/>
      <c r="K10" s="1137"/>
      <c r="L10" s="1138"/>
    </row>
    <row r="11" spans="1:12" x14ac:dyDescent="0.2">
      <c r="A11" s="1117"/>
      <c r="B11" s="1127" t="s">
        <v>470</v>
      </c>
      <c r="C11" s="1118"/>
      <c r="D11" s="1127" t="s">
        <v>467</v>
      </c>
      <c r="E11" s="1857"/>
      <c r="F11" s="1858"/>
      <c r="G11" s="1858"/>
      <c r="H11" s="1858"/>
      <c r="I11" s="1858"/>
      <c r="J11" s="1858"/>
      <c r="K11" s="1858"/>
      <c r="L11" s="1859"/>
    </row>
    <row r="12" spans="1:12" x14ac:dyDescent="0.2">
      <c r="A12" s="1117"/>
      <c r="B12" s="1127" t="s">
        <v>471</v>
      </c>
      <c r="C12" s="1118"/>
      <c r="D12" s="1118"/>
      <c r="E12" s="1860"/>
      <c r="F12" s="1861"/>
      <c r="G12" s="1861"/>
      <c r="H12" s="1861"/>
      <c r="I12" s="1861"/>
      <c r="J12" s="1861"/>
      <c r="K12" s="1118" t="s">
        <v>472</v>
      </c>
      <c r="L12" s="1139"/>
    </row>
    <row r="13" spans="1:12" x14ac:dyDescent="0.2">
      <c r="A13" s="1117"/>
      <c r="B13" s="1127" t="s">
        <v>473</v>
      </c>
      <c r="C13" s="1118"/>
      <c r="D13" s="1127" t="s">
        <v>467</v>
      </c>
      <c r="E13" s="1140"/>
      <c r="F13" s="1137"/>
      <c r="G13" s="1118"/>
      <c r="H13" s="1122" t="s">
        <v>474</v>
      </c>
      <c r="I13" s="1141" t="s">
        <v>467</v>
      </c>
      <c r="J13" s="1140"/>
      <c r="K13" s="1137"/>
      <c r="L13" s="1121"/>
    </row>
    <row r="14" spans="1:12" x14ac:dyDescent="0.2">
      <c r="A14" s="1117"/>
      <c r="B14" s="1118"/>
      <c r="C14" s="1118"/>
      <c r="D14" s="1118"/>
      <c r="E14" s="1118"/>
      <c r="F14" s="1118"/>
      <c r="G14" s="1118"/>
      <c r="H14" s="1118"/>
      <c r="I14" s="1118"/>
      <c r="J14" s="1118"/>
      <c r="K14" s="1118"/>
      <c r="L14" s="1121"/>
    </row>
    <row r="15" spans="1:12" x14ac:dyDescent="0.2">
      <c r="A15" s="1117"/>
      <c r="B15" s="1127" t="s">
        <v>475</v>
      </c>
      <c r="C15" s="1118"/>
      <c r="D15" s="1127" t="s">
        <v>467</v>
      </c>
      <c r="E15" s="1140"/>
      <c r="F15" s="1137"/>
      <c r="G15" s="1118"/>
      <c r="H15" s="1122" t="s">
        <v>476</v>
      </c>
      <c r="I15" s="1141" t="s">
        <v>467</v>
      </c>
      <c r="J15" s="1142"/>
      <c r="K15" s="1136"/>
      <c r="L15" s="1121"/>
    </row>
    <row r="16" spans="1:12" x14ac:dyDescent="0.2">
      <c r="A16" s="1117"/>
      <c r="B16" s="1127"/>
      <c r="C16" s="1118"/>
      <c r="D16" s="1127"/>
      <c r="E16" s="1127"/>
      <c r="F16" s="1118"/>
      <c r="G16" s="1118"/>
      <c r="H16" s="1127"/>
      <c r="I16" s="1127"/>
      <c r="J16" s="1127"/>
      <c r="K16" s="1118"/>
      <c r="L16" s="1143"/>
    </row>
    <row r="17" spans="1:12" ht="15.75" x14ac:dyDescent="0.25">
      <c r="A17" s="1144"/>
      <c r="B17" s="1127" t="s">
        <v>477</v>
      </c>
      <c r="C17" s="1118"/>
      <c r="D17" s="1118"/>
      <c r="E17" s="1118"/>
      <c r="F17" s="1118"/>
      <c r="G17" s="1118"/>
      <c r="H17" s="1118"/>
      <c r="I17" s="1118"/>
      <c r="J17" s="1118"/>
      <c r="K17" s="1118"/>
      <c r="L17" s="1145" t="s">
        <v>478</v>
      </c>
    </row>
    <row r="18" spans="1:12" x14ac:dyDescent="0.2">
      <c r="A18" s="1862" t="s">
        <v>479</v>
      </c>
      <c r="B18" s="1118"/>
      <c r="C18" s="1118"/>
      <c r="D18" s="1118"/>
      <c r="E18" s="1118"/>
      <c r="F18" s="1146"/>
      <c r="G18" s="1118"/>
      <c r="H18" s="1118"/>
      <c r="I18" s="1118"/>
      <c r="J18" s="1118"/>
      <c r="K18" s="1118"/>
      <c r="L18" s="1147"/>
    </row>
    <row r="19" spans="1:12" x14ac:dyDescent="0.2">
      <c r="A19" s="1863"/>
      <c r="B19" s="1127" t="s">
        <v>480</v>
      </c>
      <c r="C19" s="1118"/>
      <c r="D19" s="1127" t="s">
        <v>467</v>
      </c>
      <c r="E19" s="1146" t="s">
        <v>481</v>
      </c>
      <c r="F19" s="1146"/>
      <c r="G19" s="1118"/>
      <c r="H19" s="1118" t="s">
        <v>482</v>
      </c>
      <c r="I19" s="1118"/>
      <c r="J19" s="1118"/>
      <c r="K19" s="1118"/>
      <c r="L19" s="1148"/>
    </row>
    <row r="20" spans="1:12" x14ac:dyDescent="0.2">
      <c r="A20" s="1863"/>
      <c r="B20" s="1118"/>
      <c r="C20" s="1118"/>
      <c r="D20" s="1118"/>
      <c r="E20" s="1118"/>
      <c r="F20" s="1118"/>
      <c r="G20" s="1118"/>
      <c r="H20" s="1149" t="s">
        <v>483</v>
      </c>
      <c r="I20" s="1118"/>
      <c r="J20" s="1149"/>
      <c r="K20" s="1118"/>
      <c r="L20" s="1150"/>
    </row>
    <row r="21" spans="1:12" x14ac:dyDescent="0.2">
      <c r="A21" s="1864"/>
      <c r="B21" s="1118"/>
      <c r="C21" s="1118"/>
      <c r="D21" s="1118"/>
      <c r="E21" s="1118"/>
      <c r="F21" s="1118"/>
      <c r="G21" s="1118"/>
      <c r="H21" s="1845" t="s">
        <v>484</v>
      </c>
      <c r="I21" s="1118"/>
      <c r="J21" s="1845" t="s">
        <v>485</v>
      </c>
      <c r="K21" s="1118"/>
      <c r="L21" s="1151"/>
    </row>
    <row r="22" spans="1:12" x14ac:dyDescent="0.2">
      <c r="A22" s="1152" t="s">
        <v>486</v>
      </c>
      <c r="B22" s="1127" t="s">
        <v>487</v>
      </c>
      <c r="C22" s="1118"/>
      <c r="D22" s="1127" t="s">
        <v>467</v>
      </c>
      <c r="E22" s="1146"/>
      <c r="F22" s="1118"/>
      <c r="G22" s="1118"/>
      <c r="H22" s="1846"/>
      <c r="I22" s="1118"/>
      <c r="J22" s="1846"/>
      <c r="K22" s="1118"/>
      <c r="L22" s="1148"/>
    </row>
    <row r="23" spans="1:12" x14ac:dyDescent="0.2">
      <c r="A23" s="1153"/>
      <c r="B23" s="1127"/>
      <c r="C23" s="531" t="s">
        <v>488</v>
      </c>
      <c r="D23" s="531"/>
      <c r="E23" s="531"/>
      <c r="F23" s="531"/>
      <c r="G23" s="531"/>
      <c r="H23" s="1154"/>
      <c r="I23" s="531"/>
      <c r="J23" s="1154"/>
      <c r="K23" s="1118"/>
      <c r="L23" s="1155"/>
    </row>
    <row r="24" spans="1:12" x14ac:dyDescent="0.2">
      <c r="A24" s="1153"/>
      <c r="B24" s="1127"/>
      <c r="C24" s="1118" t="s">
        <v>489</v>
      </c>
      <c r="D24" s="1127"/>
      <c r="E24" s="1118"/>
      <c r="F24" s="1118"/>
      <c r="G24" s="1118"/>
      <c r="H24" s="1156"/>
      <c r="I24" s="1118"/>
      <c r="J24" s="1156"/>
      <c r="K24" s="1118"/>
      <c r="L24" s="1155"/>
    </row>
    <row r="25" spans="1:12" x14ac:dyDescent="0.2">
      <c r="A25" s="1153"/>
      <c r="B25" s="1118"/>
      <c r="C25" s="1118" t="s">
        <v>490</v>
      </c>
      <c r="D25" s="1127"/>
      <c r="E25" s="1118"/>
      <c r="F25" s="1118"/>
      <c r="G25" s="1118"/>
      <c r="H25" s="1157"/>
      <c r="I25" s="1118"/>
      <c r="J25" s="1157"/>
      <c r="K25" s="1118"/>
      <c r="L25" s="1151"/>
    </row>
    <row r="26" spans="1:12" x14ac:dyDescent="0.2">
      <c r="A26" s="1153"/>
      <c r="B26" s="1118"/>
      <c r="C26" s="1118" t="s">
        <v>491</v>
      </c>
      <c r="D26" s="1146"/>
      <c r="E26" s="1118"/>
      <c r="F26" s="1118"/>
      <c r="G26" s="1118"/>
      <c r="H26" s="1157"/>
      <c r="I26" s="1118"/>
      <c r="J26" s="1157"/>
      <c r="K26" s="1118"/>
      <c r="L26" s="1151"/>
    </row>
    <row r="27" spans="1:12" x14ac:dyDescent="0.2">
      <c r="A27" s="1153"/>
      <c r="C27" s="1146"/>
      <c r="H27" s="1157"/>
      <c r="I27" s="1118"/>
      <c r="J27" s="1157"/>
      <c r="K27" s="1118"/>
      <c r="L27" s="1155"/>
    </row>
    <row r="28" spans="1:12" ht="15.75" thickBot="1" x14ac:dyDescent="0.25">
      <c r="A28" s="1153"/>
      <c r="B28" s="1127" t="s">
        <v>492</v>
      </c>
      <c r="C28" s="1118" t="s">
        <v>493</v>
      </c>
      <c r="D28" s="1118"/>
      <c r="E28" s="1118"/>
      <c r="F28" s="1118"/>
      <c r="G28" s="1118"/>
      <c r="H28" s="1158"/>
      <c r="I28" s="1118"/>
      <c r="J28" s="1159"/>
      <c r="K28" s="1118"/>
      <c r="L28" s="1151"/>
    </row>
    <row r="29" spans="1:12" ht="15.75" thickBot="1" x14ac:dyDescent="0.25">
      <c r="A29" s="1153"/>
      <c r="B29" s="1118"/>
      <c r="C29" s="1118"/>
      <c r="D29" s="1127"/>
      <c r="E29" s="1118"/>
      <c r="F29" s="1118"/>
      <c r="G29" s="1160" t="s">
        <v>494</v>
      </c>
      <c r="H29" s="1161">
        <f>SUM(H23:H28)</f>
        <v>0</v>
      </c>
      <c r="I29" s="1118"/>
      <c r="J29" s="1162">
        <f>SUM(J24:J28)</f>
        <v>0</v>
      </c>
      <c r="K29" s="1118"/>
      <c r="L29" s="1148">
        <f>J29</f>
        <v>0</v>
      </c>
    </row>
    <row r="30" spans="1:12" x14ac:dyDescent="0.2">
      <c r="A30" s="1153"/>
      <c r="B30" s="1118"/>
      <c r="C30" s="1118"/>
      <c r="D30" s="1118"/>
      <c r="E30" s="1118"/>
      <c r="F30" s="1118"/>
      <c r="G30" s="1118"/>
      <c r="H30" s="1118"/>
      <c r="I30" s="1118"/>
      <c r="J30" s="1163"/>
      <c r="K30" s="1118"/>
      <c r="L30" s="1151"/>
    </row>
    <row r="31" spans="1:12" x14ac:dyDescent="0.2">
      <c r="A31" s="1153"/>
      <c r="B31" s="1118"/>
      <c r="C31" s="1118"/>
      <c r="D31" s="1118"/>
      <c r="E31" s="1118"/>
      <c r="F31" s="1118"/>
      <c r="G31" s="1118"/>
      <c r="H31" s="1842" t="s">
        <v>495</v>
      </c>
      <c r="I31" s="1843"/>
      <c r="J31" s="1844"/>
      <c r="K31" s="1118"/>
      <c r="L31" s="1151"/>
    </row>
    <row r="32" spans="1:12" x14ac:dyDescent="0.2">
      <c r="A32" s="1153"/>
      <c r="B32" s="1127" t="s">
        <v>496</v>
      </c>
      <c r="C32" s="1118"/>
      <c r="D32" s="1118"/>
      <c r="E32" s="1118"/>
      <c r="F32" s="1118"/>
      <c r="G32" s="1118"/>
      <c r="H32" s="1845" t="s">
        <v>484</v>
      </c>
      <c r="I32" s="1164"/>
      <c r="J32" s="1845" t="s">
        <v>485</v>
      </c>
      <c r="K32" s="1118"/>
      <c r="L32" s="1151"/>
    </row>
    <row r="33" spans="1:12" x14ac:dyDescent="0.2">
      <c r="A33" s="1153"/>
      <c r="B33" s="1118"/>
      <c r="C33" s="1118"/>
      <c r="D33" s="1118"/>
      <c r="E33" s="1118"/>
      <c r="F33" s="1118"/>
      <c r="G33" s="1118"/>
      <c r="H33" s="1846"/>
      <c r="I33" s="1165"/>
      <c r="J33" s="1846"/>
      <c r="K33" s="1118"/>
      <c r="L33" s="1151"/>
    </row>
    <row r="34" spans="1:12" x14ac:dyDescent="0.2">
      <c r="A34" s="1152" t="s">
        <v>497</v>
      </c>
      <c r="B34" s="1127" t="s">
        <v>498</v>
      </c>
      <c r="C34" s="1118"/>
      <c r="D34" s="1127" t="s">
        <v>467</v>
      </c>
      <c r="E34" s="1166"/>
      <c r="F34" s="1167"/>
      <c r="G34" s="1168"/>
      <c r="H34" s="1156"/>
      <c r="I34" s="1169"/>
      <c r="J34" s="1156"/>
      <c r="K34" s="1118"/>
      <c r="L34" s="1151"/>
    </row>
    <row r="35" spans="1:12" x14ac:dyDescent="0.2">
      <c r="A35" s="1152"/>
      <c r="B35" s="1127" t="s">
        <v>339</v>
      </c>
      <c r="C35" s="1146"/>
      <c r="D35" s="1170"/>
      <c r="E35" s="1146"/>
      <c r="F35" s="1847"/>
      <c r="G35" s="1848"/>
      <c r="H35" s="1158"/>
      <c r="I35" s="1169"/>
      <c r="J35" s="1158"/>
      <c r="K35" s="1118"/>
      <c r="L35" s="1151"/>
    </row>
    <row r="36" spans="1:12" x14ac:dyDescent="0.2">
      <c r="A36" s="1152" t="s">
        <v>499</v>
      </c>
      <c r="B36" s="1127" t="s">
        <v>500</v>
      </c>
      <c r="C36" s="1146"/>
      <c r="D36" s="1170"/>
      <c r="E36" s="1146"/>
      <c r="F36" s="1847"/>
      <c r="G36" s="1848"/>
      <c r="H36" s="1156"/>
      <c r="I36" s="1169"/>
      <c r="J36" s="1156"/>
      <c r="K36" s="1118"/>
      <c r="L36" s="1151"/>
    </row>
    <row r="37" spans="1:12" ht="15.75" thickBot="1" x14ac:dyDescent="0.25">
      <c r="A37" s="1152"/>
      <c r="B37" s="1118"/>
      <c r="C37" s="1146"/>
      <c r="D37" s="1146"/>
      <c r="E37" s="1146"/>
      <c r="F37" s="1146"/>
      <c r="G37" s="1146"/>
      <c r="H37" s="1158"/>
      <c r="I37" s="1169"/>
      <c r="J37" s="1158"/>
      <c r="K37" s="1118"/>
      <c r="L37" s="1151"/>
    </row>
    <row r="38" spans="1:12" ht="15.75" thickBot="1" x14ac:dyDescent="0.25">
      <c r="A38" s="1153"/>
      <c r="B38" s="1118"/>
      <c r="C38" s="1849" t="s">
        <v>501</v>
      </c>
      <c r="D38" s="1849"/>
      <c r="E38" s="1849"/>
      <c r="F38" s="1849"/>
      <c r="G38" s="1849"/>
      <c r="H38" s="1161">
        <f>SUM(H34:H37)</f>
        <v>0</v>
      </c>
      <c r="I38" s="1118"/>
      <c r="J38" s="1171">
        <f>SUM(J34:J37)</f>
        <v>0</v>
      </c>
      <c r="K38" s="1118"/>
      <c r="L38" s="1148">
        <f>J38</f>
        <v>0</v>
      </c>
    </row>
    <row r="39" spans="1:12" x14ac:dyDescent="0.2">
      <c r="A39" s="1172"/>
      <c r="B39" s="1118"/>
      <c r="C39" s="1146"/>
      <c r="D39" s="1146"/>
      <c r="E39" s="1146"/>
      <c r="F39" s="1146"/>
      <c r="G39" s="1146"/>
      <c r="H39" s="1118"/>
      <c r="I39" s="1118"/>
      <c r="J39" s="1173"/>
      <c r="K39" s="1118"/>
      <c r="L39" s="1151"/>
    </row>
    <row r="40" spans="1:12" x14ac:dyDescent="0.2">
      <c r="A40" s="1172"/>
      <c r="B40" s="1127" t="s">
        <v>502</v>
      </c>
      <c r="C40" s="1146"/>
      <c r="D40" s="1146"/>
      <c r="E40" s="1146"/>
      <c r="F40" s="1146"/>
      <c r="G40" s="1146"/>
      <c r="H40" s="1842" t="s">
        <v>503</v>
      </c>
      <c r="I40" s="1843"/>
      <c r="J40" s="1844"/>
      <c r="K40" s="1118"/>
      <c r="L40" s="1151"/>
    </row>
    <row r="41" spans="1:12" x14ac:dyDescent="0.2">
      <c r="A41" s="1172"/>
      <c r="B41" s="1118"/>
      <c r="C41" s="1146"/>
      <c r="D41" s="1146"/>
      <c r="E41" s="1146"/>
      <c r="F41" s="1146"/>
      <c r="G41" s="1146"/>
      <c r="H41" s="1845" t="s">
        <v>484</v>
      </c>
      <c r="I41" s="1164"/>
      <c r="J41" s="1845" t="s">
        <v>485</v>
      </c>
      <c r="K41" s="1118"/>
      <c r="L41" s="1151"/>
    </row>
    <row r="42" spans="1:12" x14ac:dyDescent="0.2">
      <c r="A42" s="1172"/>
      <c r="B42" s="1118"/>
      <c r="C42" s="1146"/>
      <c r="D42" s="1146"/>
      <c r="E42" s="1146"/>
      <c r="F42" s="1146"/>
      <c r="G42" s="1146"/>
      <c r="H42" s="1846"/>
      <c r="I42" s="1165"/>
      <c r="J42" s="1846"/>
      <c r="K42" s="1118"/>
      <c r="L42" s="1151"/>
    </row>
    <row r="43" spans="1:12" x14ac:dyDescent="0.2">
      <c r="A43" s="1152" t="s">
        <v>316</v>
      </c>
      <c r="B43" s="1127" t="s">
        <v>504</v>
      </c>
      <c r="C43" s="1146"/>
      <c r="D43" s="1170"/>
      <c r="E43" s="1146"/>
      <c r="F43" s="1847"/>
      <c r="G43" s="1848"/>
      <c r="H43" s="1174"/>
      <c r="I43" s="1118"/>
      <c r="J43" s="1174"/>
      <c r="K43" s="1118"/>
      <c r="L43" s="1151"/>
    </row>
    <row r="44" spans="1:12" x14ac:dyDescent="0.2">
      <c r="A44" s="1152"/>
      <c r="B44" s="1118"/>
      <c r="C44" s="1146"/>
      <c r="D44" s="1146"/>
      <c r="E44" s="1146"/>
      <c r="F44" s="1146"/>
      <c r="G44" s="1175"/>
      <c r="H44" s="1158"/>
      <c r="I44" s="1118"/>
      <c r="J44" s="1158"/>
      <c r="K44" s="1118"/>
      <c r="L44" s="1151"/>
    </row>
    <row r="45" spans="1:12" x14ac:dyDescent="0.2">
      <c r="A45" s="1152" t="s">
        <v>316</v>
      </c>
      <c r="B45" s="1127" t="s">
        <v>505</v>
      </c>
      <c r="C45" s="1146"/>
      <c r="D45" s="1170"/>
      <c r="E45" s="1146"/>
      <c r="F45" s="1167"/>
      <c r="G45" s="1168"/>
      <c r="H45" s="1156"/>
      <c r="I45" s="1118"/>
      <c r="J45" s="1156"/>
      <c r="K45" s="1118"/>
      <c r="L45" s="1151"/>
    </row>
    <row r="46" spans="1:12" ht="15.75" thickBot="1" x14ac:dyDescent="0.25">
      <c r="A46" s="1152"/>
      <c r="B46" s="1118"/>
      <c r="C46" s="1146"/>
      <c r="D46" s="1146"/>
      <c r="E46" s="1146"/>
      <c r="F46" s="1146"/>
      <c r="G46" s="1175"/>
      <c r="H46" s="1158"/>
      <c r="I46" s="1118"/>
      <c r="J46" s="1158"/>
      <c r="K46" s="1118"/>
      <c r="L46" s="1151"/>
    </row>
    <row r="47" spans="1:12" ht="15.75" thickBot="1" x14ac:dyDescent="0.25">
      <c r="A47" s="1172"/>
      <c r="B47" s="1850" t="s">
        <v>506</v>
      </c>
      <c r="C47" s="1851"/>
      <c r="D47" s="1851"/>
      <c r="E47" s="1851"/>
      <c r="F47" s="1851"/>
      <c r="G47" s="1851"/>
      <c r="H47" s="1176">
        <f>SUM(H43:H46)</f>
        <v>0</v>
      </c>
      <c r="I47" s="1118"/>
      <c r="J47" s="1171">
        <f>SUM(J43:J46)</f>
        <v>0</v>
      </c>
      <c r="K47" s="1118"/>
      <c r="L47" s="1148">
        <f>J47</f>
        <v>0</v>
      </c>
    </row>
    <row r="48" spans="1:12" x14ac:dyDescent="0.2">
      <c r="A48" s="1172"/>
      <c r="B48" s="1118"/>
      <c r="C48" s="1118"/>
      <c r="D48" s="1118"/>
      <c r="E48" s="1118"/>
      <c r="F48" s="1118"/>
      <c r="G48" s="1118"/>
      <c r="H48" s="1177"/>
      <c r="I48" s="1118"/>
      <c r="J48" s="1118"/>
      <c r="K48" s="1118"/>
      <c r="L48" s="1151"/>
    </row>
    <row r="49" spans="1:12" ht="16.5" thickBot="1" x14ac:dyDescent="0.3">
      <c r="A49" s="1178" t="s">
        <v>507</v>
      </c>
      <c r="B49" s="1179" t="s">
        <v>339</v>
      </c>
      <c r="C49" s="1180"/>
      <c r="D49" s="1180"/>
      <c r="E49" s="1180"/>
      <c r="F49" s="146"/>
      <c r="G49" s="1124" t="s">
        <v>508</v>
      </c>
      <c r="H49" s="1181"/>
      <c r="I49" s="531"/>
      <c r="J49" s="1182"/>
      <c r="K49" s="1118"/>
      <c r="L49" s="1183">
        <f>J49</f>
        <v>0</v>
      </c>
    </row>
    <row r="50" spans="1:12" ht="15.75" thickBot="1" x14ac:dyDescent="0.25">
      <c r="A50" s="1172"/>
      <c r="B50" s="1180"/>
      <c r="C50" s="1184"/>
      <c r="D50" s="1122"/>
      <c r="E50" s="1122"/>
      <c r="F50" s="146"/>
      <c r="G50" s="1122" t="s">
        <v>509</v>
      </c>
      <c r="H50" s="1185">
        <f>SUM(H23:H28)+SUM(H34:H36)+SUM(H43:H45)+H49</f>
        <v>0</v>
      </c>
      <c r="I50" s="531"/>
      <c r="J50" s="1185">
        <f>SUM(J23:J28)+SUM(J34:J36)+SUM(J43:J45)+J49</f>
        <v>0</v>
      </c>
      <c r="K50" s="1118"/>
      <c r="L50" s="1151"/>
    </row>
    <row r="51" spans="1:12" x14ac:dyDescent="0.2">
      <c r="A51" s="1172"/>
      <c r="B51" s="1184"/>
      <c r="C51" s="1184"/>
      <c r="D51" s="1184"/>
      <c r="E51" s="1118"/>
      <c r="F51" s="1118"/>
      <c r="G51" s="1118"/>
      <c r="H51" s="1118"/>
      <c r="I51" s="1118"/>
      <c r="J51" s="1118"/>
      <c r="K51" s="1118"/>
      <c r="L51" s="1155"/>
    </row>
    <row r="52" spans="1:12" x14ac:dyDescent="0.2">
      <c r="A52" s="1172"/>
      <c r="B52" s="1186"/>
      <c r="C52" s="1186"/>
      <c r="D52" s="1186"/>
      <c r="E52" s="1187"/>
      <c r="F52" s="1188"/>
      <c r="G52" s="1188"/>
      <c r="H52" s="1188"/>
      <c r="I52" s="1188"/>
      <c r="J52" s="1188"/>
      <c r="K52" s="1188"/>
      <c r="L52" s="1147"/>
    </row>
    <row r="53" spans="1:12" x14ac:dyDescent="0.2">
      <c r="A53" s="1172"/>
      <c r="B53" s="1146"/>
      <c r="C53" s="1146"/>
      <c r="D53" s="1146"/>
      <c r="E53" s="1189" t="s">
        <v>510</v>
      </c>
      <c r="F53" s="1118"/>
      <c r="G53" s="1118"/>
      <c r="H53" s="1118"/>
      <c r="I53" s="1118"/>
      <c r="J53" s="1118"/>
      <c r="K53" s="1118"/>
      <c r="L53" s="1190">
        <f>SUM(L18:L47)</f>
        <v>0</v>
      </c>
    </row>
    <row r="54" spans="1:12" x14ac:dyDescent="0.2">
      <c r="A54" s="1172"/>
      <c r="B54" s="1146"/>
      <c r="C54" s="1146"/>
      <c r="D54" s="1146"/>
      <c r="E54" s="1189" t="s">
        <v>511</v>
      </c>
      <c r="F54" s="1191">
        <v>0.14000000000000001</v>
      </c>
      <c r="G54" s="1118" t="s">
        <v>512</v>
      </c>
      <c r="H54" s="1192">
        <f>L53</f>
        <v>0</v>
      </c>
      <c r="I54" s="1118"/>
      <c r="J54" s="1118"/>
      <c r="K54" s="1118"/>
      <c r="L54" s="1155">
        <f>F54*L53</f>
        <v>0</v>
      </c>
    </row>
    <row r="55" spans="1:12" ht="15.75" thickBot="1" x14ac:dyDescent="0.25">
      <c r="A55" s="1172"/>
      <c r="B55" s="1146"/>
      <c r="C55" s="1146"/>
      <c r="D55" s="1146"/>
      <c r="E55" s="1169" t="s">
        <v>513</v>
      </c>
      <c r="F55" s="1118"/>
      <c r="G55" s="1118"/>
      <c r="H55" s="1118"/>
      <c r="I55" s="1118"/>
      <c r="J55" s="1118"/>
      <c r="K55" s="1118"/>
      <c r="L55" s="1193">
        <f>L49</f>
        <v>0</v>
      </c>
    </row>
    <row r="56" spans="1:12" ht="15.75" thickBot="1" x14ac:dyDescent="0.25">
      <c r="A56" s="1172"/>
      <c r="B56" s="1194"/>
      <c r="C56" s="1194"/>
      <c r="D56" s="1194"/>
      <c r="E56" s="1840" t="s">
        <v>514</v>
      </c>
      <c r="F56" s="1841"/>
      <c r="G56" s="1841"/>
      <c r="H56" s="1841"/>
      <c r="I56" s="1149"/>
      <c r="J56" s="1149"/>
      <c r="K56" s="1149"/>
      <c r="L56" s="1195">
        <f>L53+L54+L55</f>
        <v>0</v>
      </c>
    </row>
    <row r="57" spans="1:12" ht="15.75" thickBot="1" x14ac:dyDescent="0.25">
      <c r="A57" s="1196"/>
      <c r="B57" s="1197" t="s">
        <v>515</v>
      </c>
      <c r="C57" s="1198"/>
      <c r="D57" s="1198"/>
      <c r="E57" s="1198"/>
      <c r="F57" s="1198"/>
      <c r="G57" s="1198"/>
      <c r="H57" s="1198"/>
      <c r="I57" s="1198"/>
      <c r="J57" s="1198"/>
      <c r="K57" s="1198"/>
      <c r="L57" s="1199"/>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75" zoomScaleSheetLayoutView="75" workbookViewId="0"/>
  </sheetViews>
  <sheetFormatPr defaultRowHeight="15" x14ac:dyDescent="0.2"/>
  <cols>
    <col min="1" max="1" width="11.33203125" customWidth="1"/>
    <col min="2" max="2" width="15" customWidth="1"/>
    <col min="5" max="5" width="10" customWidth="1"/>
    <col min="9" max="9" width="9" bestFit="1" customWidth="1"/>
  </cols>
  <sheetData>
    <row r="1" spans="1:9" ht="18.75" thickTop="1" x14ac:dyDescent="0.2">
      <c r="A1" s="1108" t="s">
        <v>98</v>
      </c>
      <c r="B1" s="222"/>
      <c r="C1" s="222"/>
      <c r="D1" s="222"/>
      <c r="E1" s="222"/>
      <c r="F1" s="222"/>
      <c r="G1" s="222"/>
      <c r="H1" s="222"/>
      <c r="I1" s="223"/>
    </row>
    <row r="2" spans="1:9" ht="15.75" x14ac:dyDescent="0.2">
      <c r="A2" s="258" t="s">
        <v>218</v>
      </c>
      <c r="B2" s="124"/>
      <c r="C2" s="124"/>
      <c r="D2" s="124"/>
      <c r="E2" s="124"/>
      <c r="F2" s="124"/>
      <c r="G2" s="124"/>
      <c r="H2" s="124"/>
      <c r="I2" s="130"/>
    </row>
    <row r="3" spans="1:9" ht="15.75" x14ac:dyDescent="0.2">
      <c r="A3" s="1756" t="s">
        <v>359</v>
      </c>
      <c r="B3" s="1727"/>
      <c r="C3" s="1106">
        <f>'Input Data'!$D$28</f>
        <v>0</v>
      </c>
      <c r="D3" s="124"/>
      <c r="E3" s="124"/>
      <c r="F3" s="271" t="s">
        <v>298</v>
      </c>
      <c r="G3" s="1107">
        <f>'Input Data'!$D$5</f>
        <v>0</v>
      </c>
      <c r="H3" s="124"/>
      <c r="I3" s="130"/>
    </row>
    <row r="4" spans="1:9" ht="15.75" thickBot="1" x14ac:dyDescent="0.25">
      <c r="A4" s="199"/>
      <c r="B4" s="139"/>
      <c r="C4" s="139"/>
      <c r="D4" s="139"/>
      <c r="E4" s="139"/>
      <c r="F4" s="139"/>
      <c r="G4" s="139"/>
      <c r="H4" s="139"/>
      <c r="I4" s="200"/>
    </row>
    <row r="5" spans="1:9" ht="15.75" thickTop="1" x14ac:dyDescent="0.2">
      <c r="A5" s="128"/>
      <c r="B5" s="124"/>
      <c r="C5" s="124"/>
      <c r="D5" s="124"/>
      <c r="E5" s="124"/>
      <c r="F5" s="124"/>
      <c r="G5" s="124"/>
      <c r="H5" s="124"/>
      <c r="I5" s="130"/>
    </row>
    <row r="6" spans="1:9" x14ac:dyDescent="0.2">
      <c r="A6" s="236" t="s">
        <v>99</v>
      </c>
      <c r="B6" s="224"/>
      <c r="C6" s="224"/>
      <c r="D6" s="224"/>
      <c r="E6" s="224"/>
      <c r="F6" s="224"/>
      <c r="G6" s="224"/>
      <c r="H6" s="224"/>
      <c r="I6" s="225"/>
    </row>
    <row r="7" spans="1:9" ht="30" x14ac:dyDescent="0.2">
      <c r="A7" s="226" t="s">
        <v>4</v>
      </c>
      <c r="B7" s="1868" t="s">
        <v>100</v>
      </c>
      <c r="C7" s="1869"/>
      <c r="D7" s="1870"/>
      <c r="E7" s="227" t="s">
        <v>101</v>
      </c>
      <c r="F7" s="1868" t="s">
        <v>33</v>
      </c>
      <c r="G7" s="1869"/>
      <c r="H7" s="1870"/>
      <c r="I7" s="234" t="s">
        <v>43</v>
      </c>
    </row>
    <row r="8" spans="1:9" x14ac:dyDescent="0.2">
      <c r="A8" s="273"/>
      <c r="B8" s="1871"/>
      <c r="C8" s="1872"/>
      <c r="D8" s="1873"/>
      <c r="E8" s="274"/>
      <c r="F8" s="1871"/>
      <c r="G8" s="1872"/>
      <c r="H8" s="1873"/>
      <c r="I8" s="920">
        <v>0</v>
      </c>
    </row>
    <row r="9" spans="1:9" x14ac:dyDescent="0.2">
      <c r="A9" s="256"/>
      <c r="B9" s="1823"/>
      <c r="C9" s="1833"/>
      <c r="D9" s="1824"/>
      <c r="E9" s="251"/>
      <c r="F9" s="1823"/>
      <c r="G9" s="1833"/>
      <c r="H9" s="1824"/>
      <c r="I9" s="881"/>
    </row>
    <row r="10" spans="1:9" x14ac:dyDescent="0.2">
      <c r="A10" s="256"/>
      <c r="B10" s="1823"/>
      <c r="C10" s="1833"/>
      <c r="D10" s="1824"/>
      <c r="E10" s="251"/>
      <c r="F10" s="1823"/>
      <c r="G10" s="1833"/>
      <c r="H10" s="1824"/>
      <c r="I10" s="881"/>
    </row>
    <row r="11" spans="1:9" x14ac:dyDescent="0.2">
      <c r="A11" s="256"/>
      <c r="B11" s="1823"/>
      <c r="C11" s="1833"/>
      <c r="D11" s="1824"/>
      <c r="E11" s="251"/>
      <c r="F11" s="1823"/>
      <c r="G11" s="1833"/>
      <c r="H11" s="1824"/>
      <c r="I11" s="881"/>
    </row>
    <row r="12" spans="1:9" x14ac:dyDescent="0.2">
      <c r="A12" s="256"/>
      <c r="B12" s="1823"/>
      <c r="C12" s="1833"/>
      <c r="D12" s="1824"/>
      <c r="E12" s="251"/>
      <c r="F12" s="1823"/>
      <c r="G12" s="1833"/>
      <c r="H12" s="1824"/>
      <c r="I12" s="881"/>
    </row>
    <row r="13" spans="1:9" x14ac:dyDescent="0.2">
      <c r="A13" s="256"/>
      <c r="B13" s="1823"/>
      <c r="C13" s="1833"/>
      <c r="D13" s="1824"/>
      <c r="E13" s="251"/>
      <c r="F13" s="1823"/>
      <c r="G13" s="1833"/>
      <c r="H13" s="1824"/>
      <c r="I13" s="881"/>
    </row>
    <row r="14" spans="1:9" x14ac:dyDescent="0.2">
      <c r="A14" s="256"/>
      <c r="B14" s="257"/>
      <c r="C14" s="249"/>
      <c r="D14" s="250"/>
      <c r="E14" s="251"/>
      <c r="F14" s="257"/>
      <c r="G14" s="249"/>
      <c r="H14" s="250"/>
      <c r="I14" s="881"/>
    </row>
    <row r="15" spans="1:9" x14ac:dyDescent="0.2">
      <c r="A15" s="256"/>
      <c r="B15" s="257"/>
      <c r="C15" s="249"/>
      <c r="D15" s="250"/>
      <c r="E15" s="251"/>
      <c r="F15" s="257"/>
      <c r="G15" s="249"/>
      <c r="H15" s="250"/>
      <c r="I15" s="881"/>
    </row>
    <row r="16" spans="1:9" x14ac:dyDescent="0.2">
      <c r="A16" s="256"/>
      <c r="B16" s="1823"/>
      <c r="C16" s="1833"/>
      <c r="D16" s="1824"/>
      <c r="E16" s="251"/>
      <c r="F16" s="1823"/>
      <c r="G16" s="1833"/>
      <c r="H16" s="1824"/>
      <c r="I16" s="881"/>
    </row>
    <row r="17" spans="1:9" ht="15.75" thickBot="1" x14ac:dyDescent="0.25">
      <c r="A17" s="275"/>
      <c r="B17" s="1865"/>
      <c r="C17" s="1866"/>
      <c r="D17" s="1867"/>
      <c r="E17" s="276"/>
      <c r="F17" s="1865"/>
      <c r="G17" s="1866"/>
      <c r="H17" s="1867"/>
      <c r="I17" s="921"/>
    </row>
    <row r="18" spans="1:9" x14ac:dyDescent="0.2">
      <c r="A18" s="331"/>
      <c r="B18" s="332"/>
      <c r="C18" s="332"/>
      <c r="D18" s="332"/>
      <c r="E18" s="332"/>
      <c r="F18" s="332"/>
      <c r="G18" s="332"/>
      <c r="H18" s="796" t="s">
        <v>104</v>
      </c>
      <c r="I18" s="866">
        <f>SUM(I8:I17)</f>
        <v>0</v>
      </c>
    </row>
    <row r="19" spans="1:9" ht="15.75" thickBot="1" x14ac:dyDescent="0.25">
      <c r="A19" s="128"/>
      <c r="B19" s="124"/>
      <c r="C19" s="124"/>
      <c r="D19" s="124"/>
      <c r="E19" s="124"/>
      <c r="F19" s="124"/>
      <c r="G19" s="124"/>
      <c r="H19" s="797" t="s">
        <v>417</v>
      </c>
      <c r="I19" s="922">
        <v>0</v>
      </c>
    </row>
    <row r="20" spans="1:9" ht="16.5" thickTop="1" thickBot="1" x14ac:dyDescent="0.25">
      <c r="A20" s="128"/>
      <c r="B20" s="124"/>
      <c r="C20" s="124"/>
      <c r="D20" s="124"/>
      <c r="E20" s="124"/>
      <c r="F20" s="124"/>
      <c r="G20" s="124"/>
      <c r="H20" s="798" t="s">
        <v>418</v>
      </c>
      <c r="I20" s="923">
        <f>I18-I19</f>
        <v>0</v>
      </c>
    </row>
    <row r="21" spans="1:9" x14ac:dyDescent="0.2">
      <c r="A21" s="353" t="s">
        <v>105</v>
      </c>
      <c r="B21" s="302"/>
      <c r="C21" s="302"/>
      <c r="D21" s="302"/>
      <c r="E21" s="302"/>
      <c r="F21" s="302"/>
      <c r="G21" s="302"/>
      <c r="H21" s="302"/>
      <c r="I21" s="354"/>
    </row>
    <row r="22" spans="1:9" x14ac:dyDescent="0.2">
      <c r="A22" s="247" t="s">
        <v>106</v>
      </c>
      <c r="B22" s="124" t="s">
        <v>102</v>
      </c>
      <c r="C22" s="124"/>
      <c r="D22" s="231" t="s">
        <v>107</v>
      </c>
      <c r="E22" s="124" t="s">
        <v>103</v>
      </c>
      <c r="F22" s="231"/>
      <c r="G22" s="277" t="s">
        <v>108</v>
      </c>
      <c r="H22" s="124"/>
      <c r="I22" s="157"/>
    </row>
    <row r="23" spans="1:9" x14ac:dyDescent="0.2">
      <c r="A23" s="247" t="s">
        <v>109</v>
      </c>
      <c r="B23" s="124" t="s">
        <v>110</v>
      </c>
      <c r="C23" s="124"/>
      <c r="D23" s="231" t="s">
        <v>111</v>
      </c>
      <c r="E23" s="124" t="s">
        <v>112</v>
      </c>
      <c r="F23" s="231"/>
      <c r="G23" s="231" t="s">
        <v>113</v>
      </c>
      <c r="H23" s="124"/>
      <c r="I23" s="157"/>
    </row>
    <row r="24" spans="1:9" ht="15.75" thickBot="1" x14ac:dyDescent="0.25">
      <c r="A24" s="199"/>
      <c r="B24" s="139"/>
      <c r="C24" s="139"/>
      <c r="D24" s="139"/>
      <c r="E24" s="139"/>
      <c r="F24" s="139"/>
      <c r="G24" s="139"/>
      <c r="H24" s="139"/>
      <c r="I24" s="324"/>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19">
    <mergeCell ref="B9:D9"/>
    <mergeCell ref="F9:H9"/>
    <mergeCell ref="A3:B3"/>
    <mergeCell ref="B7:D7"/>
    <mergeCell ref="F7:H7"/>
    <mergeCell ref="B8:D8"/>
    <mergeCell ref="F8:H8"/>
    <mergeCell ref="B10:D10"/>
    <mergeCell ref="F10:H10"/>
    <mergeCell ref="B11:D11"/>
    <mergeCell ref="F11:H11"/>
    <mergeCell ref="B12:D12"/>
    <mergeCell ref="F12:H12"/>
    <mergeCell ref="B17:D17"/>
    <mergeCell ref="F17:H17"/>
    <mergeCell ref="B13:D13"/>
    <mergeCell ref="F13:H13"/>
    <mergeCell ref="B16:D16"/>
    <mergeCell ref="F16:H16"/>
  </mergeCells>
  <phoneticPr fontId="0" type="noConversion"/>
  <printOptions horizontalCentered="1"/>
  <pageMargins left="0.74803149606299213" right="0.74803149606299213" top="0.98425196850393704" bottom="0.98425196850393704" header="0.51181102362204722" footer="0.51181102362204722"/>
  <pageSetup paperSize="9" scale="80" orientation="portrait" horizontalDpi="300" verticalDpi="300" r:id="rId2"/>
  <headerFooter alignWithMargins="0"/>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Notes</vt:lpstr>
      <vt:lpstr>Input Data</vt:lpstr>
      <vt:lpstr>Worked Example</vt:lpstr>
      <vt:lpstr>Civ_Struct_Eng_Tax Invoice </vt:lpstr>
      <vt:lpstr>Scales</vt:lpstr>
      <vt:lpstr>WTW Input</vt:lpstr>
      <vt:lpstr>WTW Calculations</vt:lpstr>
      <vt:lpstr>Previous Payments</vt:lpstr>
      <vt:lpstr>Time Based</vt:lpstr>
      <vt:lpstr>Travelling &amp; Subsistence</vt:lpstr>
      <vt:lpstr>Trip Sheet</vt:lpstr>
      <vt:lpstr>Typing, Duplicating, &amp; Printing</vt:lpstr>
      <vt:lpstr>Site staff &amp; Other</vt:lpstr>
      <vt:lpstr>Summary A3</vt:lpstr>
      <vt:lpstr>Non Taxable</vt:lpstr>
      <vt:lpstr>Sheet3</vt:lpstr>
      <vt:lpstr>'Civ_Struct_Eng_Tax Invoice '!Print_Area</vt:lpstr>
      <vt:lpstr>'Input Data'!Print_Area</vt:lpstr>
      <vt:lpstr>Notes!Print_Area</vt:lpstr>
      <vt:lpstr>'Site staff &amp; Other'!Print_Area</vt:lpstr>
      <vt:lpstr>'Time Based'!Print_Area</vt:lpstr>
      <vt:lpstr>'Travelling &amp; Subsistence'!Print_Area</vt:lpstr>
      <vt:lpstr>'Worked Example'!Print_Area</vt:lpstr>
      <vt:lpstr>'WTW Calculations'!Print_Area</vt:lpstr>
      <vt:lpstr>'WTW Input'!Print_Area</vt:lpstr>
      <vt:lpstr>'Civ_Struct_Eng_Tax Invoice '!Print_Titles</vt:lpstr>
      <vt:lpstr>'Input Data'!Print_Titles</vt:lpstr>
      <vt:lpstr>'Worked Example'!Print_Titles</vt:lpstr>
      <vt:lpstr>'WTW Calculations'!Print_Titles</vt:lpstr>
      <vt:lpstr>SCALE_2010SE1</vt:lpstr>
      <vt:lpstr>SCALE_2010SE2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2011-06-06T11:26:30Z</cp:lastPrinted>
  <dcterms:created xsi:type="dcterms:W3CDTF">2000-04-06T11:32:49Z</dcterms:created>
  <dcterms:modified xsi:type="dcterms:W3CDTF">2015-03-19T07:54:51Z</dcterms:modified>
</cp:coreProperties>
</file>